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0" yWindow="65476" windowWidth="19440" windowHeight="10230" activeTab="0"/>
  </bookViews>
  <sheets>
    <sheet name="Full Scaling Tables" sheetId="1" r:id="rId1"/>
    <sheet name="Shannon Index" sheetId="4" r:id="rId2"/>
  </sheets>
  <definedNames>
    <definedName name="_xlnm._FilterDatabase" localSheetId="0" hidden="1">'Full Scaling Tables'!$A$5:$W$5</definedName>
    <definedName name="_xlnm._FilterDatabase" localSheetId="1" hidden="1">'Shannon Index'!$A$1:$U$1</definedName>
    <definedName name="_xlnm.Print_Area" localSheetId="0">'Full Scaling Tables'!$A$1:$W$357</definedName>
  </definedNames>
  <calcPr calcId="145621"/>
  <extLst/>
</workbook>
</file>

<file path=xl/comments1.xml><?xml version="1.0" encoding="utf-8"?>
<comments xmlns="http://schemas.openxmlformats.org/spreadsheetml/2006/main">
  <authors>
    <author>Author</author>
  </authors>
  <commentList>
    <comment ref="O1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these numbers use the allometric law with the funcitonal cell #</t>
        </r>
      </text>
    </comment>
    <comment ref="T1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these numbers use the allometric law with the funcitonal cell #</t>
        </r>
      </text>
    </comment>
    <comment ref="V1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these numbers use the allometric law with the funcitonal cell #</t>
        </r>
      </text>
    </comment>
    <comment ref="N8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mass is probably underestimated</t>
        </r>
      </text>
    </comment>
    <comment ref="S8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mass is probably underestimated</t>
        </r>
      </text>
    </comment>
    <comment ref="U8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mass is probably underestimated</t>
        </r>
      </text>
    </comment>
  </commentList>
</comments>
</file>

<file path=xl/sharedStrings.xml><?xml version="1.0" encoding="utf-8"?>
<sst xmlns="http://schemas.openxmlformats.org/spreadsheetml/2006/main" count="1717" uniqueCount="646">
  <si>
    <t>Human (Hu)</t>
  </si>
  <si>
    <t>Mouse</t>
  </si>
  <si>
    <t>Quantity</t>
  </si>
  <si>
    <t>Organ</t>
  </si>
  <si>
    <t>Base unit</t>
  </si>
  <si>
    <t>uH Allometric</t>
  </si>
  <si>
    <t>uH Functional</t>
  </si>
  <si>
    <t>mHu Functional</t>
  </si>
  <si>
    <t>g</t>
  </si>
  <si>
    <t>mHu Allometric</t>
  </si>
  <si>
    <t xml:space="preserve"> ±</t>
  </si>
  <si>
    <t>mL/min</t>
  </si>
  <si>
    <t>cells</t>
  </si>
  <si>
    <t>mL</t>
  </si>
  <si>
    <t>±</t>
  </si>
  <si>
    <t>References</t>
  </si>
  <si>
    <t>Liver</t>
  </si>
  <si>
    <t>Hepatocytes</t>
  </si>
  <si>
    <t>cells/g liver</t>
  </si>
  <si>
    <t>mL/day</t>
  </si>
  <si>
    <t>mg/g liver</t>
  </si>
  <si>
    <t>g liver/mL</t>
  </si>
  <si>
    <t>µmol K+/g wet * min</t>
  </si>
  <si>
    <t>µmol O2/g wet * min</t>
  </si>
  <si>
    <t>Hepatocyte</t>
  </si>
  <si>
    <t>SECs</t>
  </si>
  <si>
    <t>Kupffer</t>
  </si>
  <si>
    <t>Liver sinusoid</t>
  </si>
  <si>
    <t>MPa</t>
  </si>
  <si>
    <t>Antipyrine</t>
  </si>
  <si>
    <t>Caffeine</t>
  </si>
  <si>
    <t>Mibefradil</t>
  </si>
  <si>
    <t>Moforotene</t>
  </si>
  <si>
    <t>Theophylline</t>
  </si>
  <si>
    <t>Tolcapone</t>
  </si>
  <si>
    <t>Cl, intrinsic</t>
  </si>
  <si>
    <t>Corrected with brain weight</t>
  </si>
  <si>
    <t>Bromazepam</t>
  </si>
  <si>
    <t>Clonazepam</t>
  </si>
  <si>
    <t>Chlordiazepoxide</t>
  </si>
  <si>
    <t>Phenytoin</t>
  </si>
  <si>
    <t>Cell 1</t>
  </si>
  <si>
    <t>Cell 2</t>
  </si>
  <si>
    <t>Cell 3</t>
  </si>
  <si>
    <t>Cell 4</t>
  </si>
  <si>
    <t>Cell 5</t>
  </si>
  <si>
    <t>w/o blood</t>
  </si>
  <si>
    <t>L</t>
  </si>
  <si>
    <t>cm</t>
  </si>
  <si>
    <t>13.5</t>
  </si>
  <si>
    <t>1.5</t>
  </si>
  <si>
    <t>1 cm</t>
  </si>
  <si>
    <t>mm</t>
  </si>
  <si>
    <t>7.5</t>
  </si>
  <si>
    <t>2.5</t>
  </si>
  <si>
    <t>150</t>
  </si>
  <si>
    <t>30</t>
  </si>
  <si>
    <t>150  (rat)</t>
  </si>
  <si>
    <t>1-2</t>
  </si>
  <si>
    <t>19.4 (rat)</t>
  </si>
  <si>
    <t>L/ min</t>
  </si>
  <si>
    <t>Total cell number</t>
  </si>
  <si>
    <t>N/A</t>
  </si>
  <si>
    <t>monolayer</t>
  </si>
  <si>
    <t>cell types</t>
  </si>
  <si>
    <t>um/cell</t>
  </si>
  <si>
    <t>%</t>
  </si>
  <si>
    <t>bpm</t>
  </si>
  <si>
    <t>Neuronal</t>
  </si>
  <si>
    <t>VSMCs</t>
  </si>
  <si>
    <t>Heart</t>
  </si>
  <si>
    <t>Liver %</t>
  </si>
  <si>
    <t>Heart %</t>
  </si>
  <si>
    <t>mL O2/100g/min</t>
  </si>
  <si>
    <t>% of CM cytosolic volume</t>
  </si>
  <si>
    <t>nmol/mm^3/s</t>
  </si>
  <si>
    <t>capillaries/mm^2</t>
  </si>
  <si>
    <t>Macrophages</t>
  </si>
  <si>
    <t>Lung cells</t>
  </si>
  <si>
    <t>Lung %</t>
  </si>
  <si>
    <t>70 kg human .25 kg rat</t>
  </si>
  <si>
    <t>*averaged values - Reported</t>
  </si>
  <si>
    <t>*averaged</t>
  </si>
  <si>
    <t>Lung</t>
  </si>
  <si>
    <t xml:space="preserve">Total Lung Capacity (TLC) </t>
  </si>
  <si>
    <t>Functional Residual Capacity (FRC)</t>
  </si>
  <si>
    <t xml:space="preserve">Tidal Volume </t>
  </si>
  <si>
    <t>Dead Space</t>
  </si>
  <si>
    <t>Frequency of Respiration</t>
  </si>
  <si>
    <t>min-1</t>
  </si>
  <si>
    <t>Minute Volume (ml/min)</t>
  </si>
  <si>
    <t>Lung Compliance</t>
  </si>
  <si>
    <t>mL/cm H2O</t>
  </si>
  <si>
    <t>Flow Resistance</t>
  </si>
  <si>
    <t>cm H2O/(L/sec)</t>
  </si>
  <si>
    <t>Diffusion Capacity CO</t>
  </si>
  <si>
    <t>mL/mmHg/min</t>
  </si>
  <si>
    <t>Power of Breathing</t>
  </si>
  <si>
    <t>g*cm/min</t>
  </si>
  <si>
    <t>Acinar Diameter</t>
  </si>
  <si>
    <t>Terminal Bronchiole Diameter</t>
  </si>
  <si>
    <t>Alveolar Diameter</t>
  </si>
  <si>
    <t>Surface Area Alveolar Epithelium</t>
  </si>
  <si>
    <t>X</t>
  </si>
  <si>
    <t>Surface Area Type 1 Epithelium</t>
  </si>
  <si>
    <t>Surface Area Type 2 Epithelium</t>
  </si>
  <si>
    <t>Capillary Endothelium</t>
  </si>
  <si>
    <t>Tracheal Radius</t>
  </si>
  <si>
    <t>Volume of Alveolus</t>
  </si>
  <si>
    <t>Number of Alveoli</t>
  </si>
  <si>
    <t>Area of Alveolus</t>
  </si>
  <si>
    <t>Area of Lungs</t>
  </si>
  <si>
    <t>mL/hr/g</t>
  </si>
  <si>
    <t>um^-1</t>
  </si>
  <si>
    <t>Basolateral Membrane Area/mTAL Cell Vol</t>
  </si>
  <si>
    <t>Inner Mitochondial Membrane Area/mTAL Cell Vol</t>
  </si>
  <si>
    <t>Inner Mitochondial Membrane Area/Vol mTAL Mito</t>
  </si>
  <si>
    <t>Vol Mitochondria/mTAL Cell Vol</t>
  </si>
  <si>
    <t>m^2/cm^3</t>
  </si>
  <si>
    <t>Mitochondrial Membrane SA (m^2) per cm^3 Tissue</t>
  </si>
  <si>
    <t>Mitochondrial Volume Density (% of cell vol)</t>
  </si>
  <si>
    <t>Mass Specific Oxygen Consumption</t>
  </si>
  <si>
    <t>kJ kg-1 day-1</t>
  </si>
  <si>
    <t>Kidney Mass Specific Metabolic Rate</t>
  </si>
  <si>
    <t>W/kg</t>
  </si>
  <si>
    <t>Species Mass Specific Metablic Rate</t>
  </si>
  <si>
    <t>W</t>
  </si>
  <si>
    <t>Species Basal Metabolic Rate</t>
  </si>
  <si>
    <t>Metabolic</t>
  </si>
  <si>
    <t>mg/day</t>
  </si>
  <si>
    <t>Excretion, Neutral Sulfur</t>
  </si>
  <si>
    <t>Excretion, Creatinine Nitrogen</t>
  </si>
  <si>
    <t>Excretion, Urinary Nitrogen</t>
  </si>
  <si>
    <t>Clearance, Para-aminohippurate (PAH)</t>
  </si>
  <si>
    <t>Clearance, Methotrexate (MTX)</t>
  </si>
  <si>
    <t>Clearance, Creatinine</t>
  </si>
  <si>
    <t>Clearance, Inulin</t>
  </si>
  <si>
    <t>mL/hr</t>
  </si>
  <si>
    <t>Clearance, Urea</t>
  </si>
  <si>
    <t>Clearance</t>
  </si>
  <si>
    <t>mmol/kgH2O</t>
  </si>
  <si>
    <t>Urinary Concentrating Ability (*#4)</t>
  </si>
  <si>
    <t>Urine Flow</t>
  </si>
  <si>
    <t>nL/min</t>
  </si>
  <si>
    <t>Single Nephron GFR</t>
  </si>
  <si>
    <t>Functional</t>
  </si>
  <si>
    <t>um</t>
  </si>
  <si>
    <t>Mean Glomerular Diameter</t>
  </si>
  <si>
    <t>mm^3</t>
  </si>
  <si>
    <t>Proximal Tubule Volume/g of Kidney</t>
  </si>
  <si>
    <t>Total of Proximal Tubule Volumes</t>
  </si>
  <si>
    <t>Proximal Tubule Volume</t>
  </si>
  <si>
    <t>Proximal Tubule Diameter</t>
  </si>
  <si>
    <t>Proximal Tubule Length</t>
  </si>
  <si>
    <t>mm^2</t>
  </si>
  <si>
    <t>SA/Glomerulus</t>
  </si>
  <si>
    <t>Total Glomerular SA</t>
  </si>
  <si>
    <t>Total Glomerular Volume</t>
  </si>
  <si>
    <t>Glomerular Surface/g of Kidney</t>
  </si>
  <si>
    <t># Nephrons/g of Kidney</t>
  </si>
  <si>
    <t>Plasma Flow Rate (PFR)</t>
  </si>
  <si>
    <t>Renal Blood Flow (RBF)</t>
  </si>
  <si>
    <t>Loop Length</t>
  </si>
  <si>
    <t>Inner Medullary Thickness</t>
  </si>
  <si>
    <t>Outer Medullary Thickness</t>
  </si>
  <si>
    <t>Medullary Thickness</t>
  </si>
  <si>
    <t>Cortical Thickness</t>
  </si>
  <si>
    <t xml:space="preserve">Kidney Volume </t>
  </si>
  <si>
    <t>Structural</t>
  </si>
  <si>
    <t>Reference</t>
  </si>
  <si>
    <t>70 kg human, 20 g mouse</t>
  </si>
  <si>
    <t>Kidney</t>
  </si>
  <si>
    <t>Heart cells</t>
  </si>
  <si>
    <t>Liver cells</t>
  </si>
  <si>
    <t>-</t>
  </si>
  <si>
    <t>Blood</t>
  </si>
  <si>
    <t xml:space="preserve">Perfluorocarbon </t>
  </si>
  <si>
    <t>Hemoglobin</t>
  </si>
  <si>
    <t>Water</t>
  </si>
  <si>
    <t xml:space="preserve">Oxygen Diffusivity *10^9 (m^2/s) </t>
  </si>
  <si>
    <t>Relative oxygen capacity</t>
  </si>
  <si>
    <t>Oxygen binding capacity (mL O2/g)</t>
  </si>
  <si>
    <t>α (mL O2/(mL B *atm)) at 37 C</t>
  </si>
  <si>
    <t>Oxygen Carriers</t>
  </si>
  <si>
    <t>dyn/cm^2</t>
  </si>
  <si>
    <t>mmol/L</t>
  </si>
  <si>
    <t>Cholesterol</t>
  </si>
  <si>
    <t>Mg2+</t>
  </si>
  <si>
    <t>umol/L</t>
  </si>
  <si>
    <t>Cl-</t>
  </si>
  <si>
    <t>Phospohorus</t>
  </si>
  <si>
    <t>Na+</t>
  </si>
  <si>
    <t>Ca2+</t>
  </si>
  <si>
    <t>g/L</t>
  </si>
  <si>
    <t>Total Protein</t>
  </si>
  <si>
    <t>Triglycerides</t>
  </si>
  <si>
    <t>Glucose</t>
  </si>
  <si>
    <t>% Volume</t>
  </si>
  <si>
    <t>Hematocrit</t>
  </si>
  <si>
    <t>Urea</t>
  </si>
  <si>
    <t>K+</t>
  </si>
  <si>
    <t>Creatinine</t>
  </si>
  <si>
    <t>Albumin</t>
  </si>
  <si>
    <t>Volume</t>
  </si>
  <si>
    <t>p value&lt;.001</t>
  </si>
  <si>
    <t>p value&lt;.01</t>
  </si>
  <si>
    <t>p value&lt;.05</t>
  </si>
  <si>
    <t>p value= 0.011</t>
  </si>
  <si>
    <t>p value=0.034</t>
  </si>
  <si>
    <t>p value=0.039</t>
  </si>
  <si>
    <t>p value=0.118</t>
  </si>
  <si>
    <t>p value=0.299</t>
  </si>
  <si>
    <t>p value=0.528</t>
  </si>
  <si>
    <t>p value=0.721</t>
  </si>
  <si>
    <t>p value=0.774</t>
  </si>
  <si>
    <t>Capillary Shear Stress</t>
  </si>
  <si>
    <t>Firing Rate</t>
  </si>
  <si>
    <t>linear regression with age, slope =</t>
  </si>
  <si>
    <t>Brain</t>
  </si>
  <si>
    <t>mL/100g.min</t>
  </si>
  <si>
    <t>Cerebral Metabolic Rate (oxygen/mass)</t>
  </si>
  <si>
    <t>umol/g.min</t>
  </si>
  <si>
    <t>Cerebral Cortex Glucose Consumption</t>
  </si>
  <si>
    <t>0.084 (rat)</t>
  </si>
  <si>
    <t>mL/g.min</t>
  </si>
  <si>
    <t>Whole Brain Oxygen Consumption</t>
  </si>
  <si>
    <t>umol/min</t>
  </si>
  <si>
    <t>Whole Brain Glucose Consumption</t>
  </si>
  <si>
    <t>NV</t>
  </si>
  <si>
    <t>Metabolic Rate/g</t>
  </si>
  <si>
    <t>Neuronal Cell Density (Rodents)</t>
  </si>
  <si>
    <t>Neurons/mg</t>
  </si>
  <si>
    <t>Neuronal Cell Density (Primates)</t>
  </si>
  <si>
    <t>Computational Capacity Primates</t>
  </si>
  <si>
    <t>Conduction Velocity Rodents</t>
  </si>
  <si>
    <t>Conduction Velocity Primates</t>
  </si>
  <si>
    <t>s^-1</t>
  </si>
  <si>
    <t>Conduction Velocity</t>
  </si>
  <si>
    <t>mmHg</t>
  </si>
  <si>
    <t>CO2 Partial Pressure</t>
  </si>
  <si>
    <t>volume %</t>
  </si>
  <si>
    <t>Arterial CO2 content</t>
  </si>
  <si>
    <t>Arteriovenous Oxygen Difference</t>
  </si>
  <si>
    <t>mmHg/100g</t>
  </si>
  <si>
    <t>Cerebral Vascular Resistance</t>
  </si>
  <si>
    <t>Mean Arterial Blood Pressure</t>
  </si>
  <si>
    <t>Pa</t>
  </si>
  <si>
    <t>Cerebral Blood Flow</t>
  </si>
  <si>
    <t>L/min</t>
  </si>
  <si>
    <t>Cell Turnover</t>
  </si>
  <si>
    <t>Neocortical # Microglia</t>
  </si>
  <si>
    <t>Neocortical # Vascular Cells</t>
  </si>
  <si>
    <t>Neocortical # Glia</t>
  </si>
  <si>
    <t>Neocortical # Neurons</t>
  </si>
  <si>
    <t>Neocortical # Cells</t>
  </si>
  <si>
    <t>RoB = Basal ganglia, diencephalon, brainstem</t>
  </si>
  <si>
    <t>Rest of Brain # Non-Neuronal</t>
  </si>
  <si>
    <t>&lt;1% total cells</t>
  </si>
  <si>
    <t>Rest of Brain # Neurons</t>
  </si>
  <si>
    <t>Rest of Brain # Cells</t>
  </si>
  <si>
    <t>Cortical White Matter # Non-Neuronal</t>
  </si>
  <si>
    <t>Cortical White Matter # Neurons</t>
  </si>
  <si>
    <t>Cerebral Cortex # Neurons</t>
  </si>
  <si>
    <t>Cerebellum # Non-Neuronal</t>
  </si>
  <si>
    <t>Cerebellum # Neurons</t>
  </si>
  <si>
    <t>Whole Brain # Non-Neuronal Cells</t>
  </si>
  <si>
    <t>Whole Brain # Neuronal Cells</t>
  </si>
  <si>
    <t>Axonal Length</t>
  </si>
  <si>
    <t>um^2</t>
  </si>
  <si>
    <t>Axonal Cross Sectional Area</t>
  </si>
  <si>
    <t>uL</t>
  </si>
  <si>
    <t>Total Capillary Volume</t>
  </si>
  <si>
    <t>Total Capillary Surface Area</t>
  </si>
  <si>
    <t>m^2</t>
  </si>
  <si>
    <t>Capillary Surface Area</t>
  </si>
  <si>
    <t>cm^2/g</t>
  </si>
  <si>
    <t>Capillary Volume (calculated)</t>
  </si>
  <si>
    <t>km</t>
  </si>
  <si>
    <t>Total Capillary Length</t>
  </si>
  <si>
    <t>Capillary Luminal Diameter</t>
  </si>
  <si>
    <t>um/neuron</t>
  </si>
  <si>
    <t>per neuron</t>
  </si>
  <si>
    <t>Capillary Linear Dimension</t>
  </si>
  <si>
    <t>cm^2</t>
  </si>
  <si>
    <t>White Matter Surface A</t>
  </si>
  <si>
    <t>Cortical Surface A</t>
  </si>
  <si>
    <t>Cortical White Matter Mass</t>
  </si>
  <si>
    <t>Whole Cortical Mass</t>
  </si>
  <si>
    <t>Rest of Brain Mass</t>
  </si>
  <si>
    <t>Cerebellum Mass</t>
  </si>
  <si>
    <t>Organ Mass (primates)</t>
  </si>
  <si>
    <t>Interstitial Volume</t>
  </si>
  <si>
    <t>White Matter V</t>
  </si>
  <si>
    <t>cm^3</t>
  </si>
  <si>
    <t>Gray Matter V</t>
  </si>
  <si>
    <t>gray matter mass=volume (cm^3)</t>
  </si>
  <si>
    <t>Total volume of gray matter+White matter+cerebrospinal fluid</t>
  </si>
  <si>
    <t>Intracranial Volume</t>
  </si>
  <si>
    <t>Allometric Reference Unit</t>
  </si>
  <si>
    <t>+/-</t>
  </si>
  <si>
    <t>5.15 (rat)</t>
  </si>
  <si>
    <t>69 kg human, 19.2 g mouse</t>
  </si>
  <si>
    <t>17;18</t>
  </si>
  <si>
    <t>23;24</t>
  </si>
  <si>
    <t>nH Allometric</t>
  </si>
  <si>
    <t>nH Functional</t>
  </si>
  <si>
    <t>56;57</t>
  </si>
  <si>
    <t>77;78</t>
  </si>
  <si>
    <t>Literature Cited</t>
  </si>
  <si>
    <t>Prothero,JW. Organ Scaling in Mammals: The Liver, Comparative Biochemistry and Physiology Part A: Physiology, 71, 567-577, 1982</t>
  </si>
  <si>
    <t>Henschel,E and Kyrieleis,C. Thermodynamische Messung Äußerer Organoberflächen, Virchows Archiv, 333, 22-28, 1960</t>
  </si>
  <si>
    <t>Laflamme,MA and Murry,CE. Heart Regeneration, Nature, 473, 326-335, 2011</t>
  </si>
  <si>
    <t xml:space="preserve">Crescenzi,M. Reactivation of the Cell Cycle in Terminally Differentiated Cells.  Landes Bioscience,  Georgetown, TX,  2002 </t>
  </si>
  <si>
    <t xml:space="preserve">Talley,NJ and O'Connor,S. Examination Medicine: a Guide to Physician Training. 6th ed., Churchill Livingstone Elsevier,  Sydney; New York,  2010 </t>
  </si>
  <si>
    <t>West,GB, Brown,JH, Enquist,BJ. A General Model for the Origin of Allometric Scaling Laws in Biology, Science, 276, 122-126, 1997</t>
  </si>
  <si>
    <t>Adolph,EF. Quantitative Relations in the Physiological Constitutions of Mammals, Science, 109, 579-585, 1949</t>
  </si>
  <si>
    <t xml:space="preserve"> Reference Ranges for Blood Tests, Wikipedia: The Free Encyclopedia Wikimedia Foundation, Inc., 5/1/2012,</t>
  </si>
  <si>
    <t xml:space="preserve"> Reference Values for Laboratory Animals, Research Animal Resources University of Minnesota, 2/19/2013, http://www.ahc.umn.edu/rar/refvalues.html</t>
  </si>
  <si>
    <t>Krauss,GL, Kaplan,P, Fisher,RS. Parenteral Magnesium-Sulfate Fails to Control Electroshock and Pentylenetetrazol Seizures in Mice, Epilepsy Res., 4, 201-206, 1989</t>
  </si>
  <si>
    <t xml:space="preserve">Roselli,RJ and Diller,KR. Biotransport: Principles and Applications. 1st ed., Springer,  New York,  2011 </t>
  </si>
  <si>
    <t xml:space="preserve">Middleman,S. An Introduction to Fluid Dynamics: Principles of Analysis and Design. 1st ed., Wiley,  New York,  1998 </t>
  </si>
  <si>
    <t>Organ Volume</t>
  </si>
  <si>
    <t>Total Cell Number</t>
  </si>
  <si>
    <t>Kidney Mass</t>
  </si>
  <si>
    <t># Nephrons, Both Kidneys</t>
  </si>
  <si>
    <t># Glomeruli, Both Kidneys</t>
  </si>
  <si>
    <t>Glomerular Filtration Rate (GFR)</t>
  </si>
  <si>
    <t>Organ Weight</t>
  </si>
  <si>
    <t>Oxygen Consumption</t>
  </si>
  <si>
    <t>Blood Flow</t>
  </si>
  <si>
    <t>Resident Blood Volume</t>
  </si>
  <si>
    <t>Bile Flow</t>
  </si>
  <si>
    <t>Hepatocyte Cell Density</t>
  </si>
  <si>
    <t>Protein Concentration</t>
  </si>
  <si>
    <t>Liver Density</t>
  </si>
  <si>
    <t>Potassium Uptake Rate</t>
  </si>
  <si>
    <t>Tissue Metabolic Rate (Oxygen)</t>
  </si>
  <si>
    <t>Shear Stress</t>
  </si>
  <si>
    <t>Total Alveolar Septal Tissue Volume</t>
  </si>
  <si>
    <t>Type 1 Cell Volume</t>
  </si>
  <si>
    <t>Type 2 Cell Volume</t>
  </si>
  <si>
    <t>Interstitial Cell Volume</t>
  </si>
  <si>
    <t>Interstitial Matrix Volume</t>
  </si>
  <si>
    <t>Alveolar Macrophage Volume</t>
  </si>
  <si>
    <t>Endothelial Cell Volume</t>
  </si>
  <si>
    <t>Type 1 Epithelial Cell Number</t>
  </si>
  <si>
    <t>Type 2 Epithelial Cell Number</t>
  </si>
  <si>
    <t>Interstitial Cell Number</t>
  </si>
  <si>
    <t>Endothelial Cell Number</t>
  </si>
  <si>
    <t>Alveolar Macrophages Number</t>
  </si>
  <si>
    <t>O2 Consumption Rate</t>
  </si>
  <si>
    <t>Total Bilirubin</t>
  </si>
  <si>
    <t>Wall Shear Stress Along the Infrarenal Aorta**</t>
  </si>
  <si>
    <t>Organ Mean Linear Dimension</t>
  </si>
  <si>
    <t>LV Weight</t>
  </si>
  <si>
    <t>LV Wall Thickness</t>
  </si>
  <si>
    <t>LV  Surface Area</t>
  </si>
  <si>
    <t>LV Radii</t>
  </si>
  <si>
    <t>LV Radius of Curvature</t>
  </si>
  <si>
    <t>Resident Vascular Blood Volume</t>
  </si>
  <si>
    <t>End Diastolic Vlood Volume</t>
  </si>
  <si>
    <t>% Mitochondria (v/v)</t>
  </si>
  <si>
    <t>Capillary Density</t>
  </si>
  <si>
    <t>Max MVO2 Calculation</t>
  </si>
  <si>
    <t xml:space="preserve">Myocyte Fractional area </t>
  </si>
  <si>
    <t>Wall Shear Stress</t>
  </si>
  <si>
    <t>Oscillatory Frequency</t>
  </si>
  <si>
    <t>Ejection Fraction</t>
  </si>
  <si>
    <t>Total Transport Capacity</t>
  </si>
  <si>
    <t>Fractional  Cell Shortening</t>
  </si>
  <si>
    <t>Cell Turnover Rate</t>
  </si>
  <si>
    <t>Perfusion Rate</t>
  </si>
  <si>
    <t>Number of Important Cell Types</t>
  </si>
  <si>
    <t>Cell Density</t>
  </si>
  <si>
    <t>Mass Per Cell</t>
  </si>
  <si>
    <t>Mouse mass, kg</t>
  </si>
  <si>
    <t>Allometric coefficient A</t>
  </si>
  <si>
    <t>mHu mass, kg</t>
  </si>
  <si>
    <t>nH mass, kg</t>
  </si>
  <si>
    <t>Type of Quantity</t>
  </si>
  <si>
    <t xml:space="preserve"> Hu mass, kg</t>
  </si>
  <si>
    <t>uH mass, kg</t>
  </si>
  <si>
    <t>Notes</t>
  </si>
  <si>
    <t>Experimental: -0.2027; Theoretical: -0.375</t>
  </si>
  <si>
    <t>~10.5 mL/100g of tissue</t>
  </si>
  <si>
    <t>Cardiomyocytes, Fibroblasts, VSMCs, ECs,  neurons</t>
  </si>
  <si>
    <t>1% turnover at 25, 0.45% turnover at 75 years (calculated assuming 1% turnover)</t>
  </si>
  <si>
    <t>in children and adults, higher density in infants</t>
  </si>
  <si>
    <t>in men</t>
  </si>
  <si>
    <t>Max O2 Consumption nmol/mm^3/s</t>
  </si>
  <si>
    <t>Theoretical: 0.75</t>
  </si>
  <si>
    <t>Theoretical: 0.25 (assuming sphere and radius of 100 um)</t>
  </si>
  <si>
    <t>Theoretical: 0.375 Experimental: 0.39</t>
  </si>
  <si>
    <t>Theoretical: 0.167 (assuming sphere and radius of 100 um)</t>
  </si>
  <si>
    <t>Theoretical: 0.92 Experimental: 0.95</t>
  </si>
  <si>
    <t>Theoretical: 0.75 Experimental: 0.76</t>
  </si>
  <si>
    <t>cell number increases proportionally with body mass</t>
  </si>
  <si>
    <t>SE</t>
  </si>
  <si>
    <t>Organ volume</t>
  </si>
  <si>
    <t>Cortical Gray Matter mass</t>
  </si>
  <si>
    <t>Capillary Length Per Neuron (Calculated)</t>
  </si>
  <si>
    <t>Capillary Volume (resident blood vol)</t>
  </si>
  <si>
    <t>Cerebrospinal fluid volume</t>
  </si>
  <si>
    <t>mitochondrial surface area</t>
  </si>
  <si>
    <t>Cerebellum # cells</t>
  </si>
  <si>
    <t>Cerebral Cortex # cells</t>
  </si>
  <si>
    <t>Cerebral Cortex #Non-Neuronal</t>
  </si>
  <si>
    <t>Cortical Grey matter # Neurons</t>
  </si>
  <si>
    <t>Cortical Grey matter # Non-Neuronal</t>
  </si>
  <si>
    <t>CBF changes with aging</t>
  </si>
  <si>
    <t>Oxygen extraction fraction changes with aging</t>
  </si>
  <si>
    <t>Computational capacity Rodents</t>
  </si>
  <si>
    <t>neuronal density with brain mass (all)</t>
  </si>
  <si>
    <t>metabolic demand/value range</t>
  </si>
  <si>
    <t>Glucose consumption per mass</t>
  </si>
  <si>
    <t>Glucose per neuron</t>
  </si>
  <si>
    <t>CMRO2 changes with aging</t>
  </si>
  <si>
    <t>Scaled to brain mass (g)</t>
  </si>
  <si>
    <t>Calculated from total capillary length divided by number of neurons</t>
  </si>
  <si>
    <t>131 um^3/neuron X Whole Brain # Neuronal Cells</t>
  </si>
  <si>
    <t>174 um^2 per neuron X Whole Brain # Neuronal Cells</t>
  </si>
  <si>
    <t>1-40 Hz</t>
  </si>
  <si>
    <t>Mass from literature</t>
  </si>
  <si>
    <t>Mass from allometric scaling</t>
  </si>
  <si>
    <t>Volume from literature</t>
  </si>
  <si>
    <t>Volume from allometric scaling</t>
  </si>
  <si>
    <t>Renal Blood Flow from literature</t>
  </si>
  <si>
    <t>Renal Blood Flow from allometric scaling</t>
  </si>
  <si>
    <t>Plasma Flow Rate from literature</t>
  </si>
  <si>
    <t>Plasma Flow Rate from allometric scaling</t>
  </si>
  <si>
    <t>Urine Flow from literature</t>
  </si>
  <si>
    <t>Urine Flow from allometric scaling</t>
  </si>
  <si>
    <t>White matter surface area is used to derive White Matter Volume</t>
  </si>
  <si>
    <t>Scaled to gray matter volume</t>
  </si>
  <si>
    <t>Scaled to body mass. Brain Mass and volume scale linearally</t>
  </si>
  <si>
    <t>Scaled to # of cortical non-neuronal cells. Other cells are primarily oligodendrocytes</t>
  </si>
  <si>
    <t>Scaled to gray matter mass</t>
  </si>
  <si>
    <t xml:space="preserve">Scaled to # gray matter neurons. &gt;40% of cerebral cortex in humans, mass of one hemisphere from LHH Ref 2. </t>
  </si>
  <si>
    <t>Scaled to whole brain # neuronal cells. Mass from LHH Ref 2.</t>
  </si>
  <si>
    <t>Scaled to # gray matter neurons</t>
  </si>
  <si>
    <t>Calculated from diameter and length</t>
  </si>
  <si>
    <t>Scaled to body mass</t>
  </si>
  <si>
    <t>Extracellular space is 200ul/g tissue LHH ref 28</t>
  </si>
  <si>
    <t>From LHH source 13</t>
  </si>
  <si>
    <t>Average of total capillary surface area range from multiple sources 12-18 m^2</t>
  </si>
  <si>
    <t>Calculated by length/neuron*# neurons</t>
  </si>
  <si>
    <t>Essentially invariant for primate brains. Scaled to cortical gray matter # neurons</t>
  </si>
  <si>
    <t>Follows metabolic rate and scales to brain mass</t>
  </si>
  <si>
    <t>Scaled to cortical gray matter # neurons</t>
  </si>
  <si>
    <t>Scaled to cortical radius</t>
  </si>
  <si>
    <t>Scaled to cortical mass</t>
  </si>
  <si>
    <t>13% of total body blood flow</t>
  </si>
  <si>
    <t>Agrees with cerebral blood flow in L/min when calculated with brain mass</t>
  </si>
  <si>
    <t>Max around 10 (microvessels) min around 0.28 (venules). Scaled to capillary diameter</t>
  </si>
  <si>
    <t>Decreased connectivity as the cortex grows. This decreases the average conduction delay along global connections. Scaled to cortical gray matter # neurons</t>
  </si>
  <si>
    <t>Scaled to whole brain # neuronal cells.</t>
  </si>
  <si>
    <t>Average of two papers +/- Stdev. Scaled to brain mass</t>
  </si>
  <si>
    <t>Scaled to brain mass</t>
  </si>
  <si>
    <t>Across 6 species. Scaled to brain mass</t>
  </si>
  <si>
    <t>Across 6 species, human number average of 2 sources +/- Stdev. Scaled to brain mass.</t>
  </si>
  <si>
    <t>Calculated from whole brain glucose consumption divided by number of neurons</t>
  </si>
  <si>
    <t>For humans, calculated from whole brain oxygen consumption divided by organ mass</t>
  </si>
  <si>
    <t>Also differs for type of neuron. Scaled to body mass</t>
  </si>
  <si>
    <t>Scales with Age</t>
  </si>
  <si>
    <t>Linear regression with age, slope =</t>
  </si>
  <si>
    <t>Scaled to # gray matter neurons. Mass from LHH Ref 2.</t>
  </si>
  <si>
    <t>NOTES</t>
  </si>
  <si>
    <t xml:space="preserve">In certain cases, the literature values for the allometric scaling laws were for body mass in units other than kg, and hence have been scaled for consistency </t>
  </si>
  <si>
    <t>Adjusted from reference weight to 70kg human</t>
  </si>
  <si>
    <t>Non-Neuronal (Glial) cell density per Neuron</t>
  </si>
  <si>
    <t>Neocortical: # Glia/# Neurons</t>
  </si>
  <si>
    <t>Rest of Brain: #Non-Neuronal/#Neuronal</t>
  </si>
  <si>
    <t>Cortical White Matter: #Non-Neuronal/#Neuronal</t>
  </si>
  <si>
    <t>Cortical Gray Matter: #Non-Neuronal/#Neuronal</t>
  </si>
  <si>
    <t>Cerebral Cortex: #Non-Neuronal/#Neuronal</t>
  </si>
  <si>
    <t>Cerebellum: #Non-Neuronal/#Neuronal</t>
  </si>
  <si>
    <t>Whole Brain: #Non-Neuronal/#Neuronal</t>
  </si>
  <si>
    <t>Tot %</t>
  </si>
  <si>
    <t>Diversity Index = Effective number of cell types</t>
  </si>
  <si>
    <t>P_i = 1/N for uniform distribution</t>
  </si>
  <si>
    <t>Number of cell types, N</t>
  </si>
  <si>
    <t>Shannon-Wiener Index, SWI</t>
  </si>
  <si>
    <t>SWI for uniform distribution</t>
  </si>
  <si>
    <t>Brain Cells</t>
  </si>
  <si>
    <t>Brain %</t>
  </si>
  <si>
    <t>Blood Cells</t>
  </si>
  <si>
    <t>Blood %</t>
  </si>
  <si>
    <t>Glia</t>
  </si>
  <si>
    <t>Neurons</t>
  </si>
  <si>
    <t>Vascular</t>
  </si>
  <si>
    <t>Cardiomyocytes</t>
  </si>
  <si>
    <t>Interstitial</t>
  </si>
  <si>
    <t>Fibroblasts</t>
  </si>
  <si>
    <t>Endothelial</t>
  </si>
  <si>
    <t>Erythrocytes</t>
  </si>
  <si>
    <t>Neutrophils</t>
  </si>
  <si>
    <t>Lymphocytes</t>
  </si>
  <si>
    <t>Monocytes</t>
  </si>
  <si>
    <t>Eosinophils</t>
  </si>
  <si>
    <r>
      <t xml:space="preserve">L. Sherwood, in </t>
    </r>
    <r>
      <rPr>
        <i/>
        <sz val="12"/>
        <color theme="1"/>
        <rFont val="Times New Roman"/>
        <family val="1"/>
      </rPr>
      <t>Human physiology: from cells to systems</t>
    </r>
    <r>
      <rPr>
        <sz val="12"/>
        <color theme="1"/>
        <rFont val="Times New Roman"/>
        <family val="1"/>
      </rPr>
      <t>, Cengage-Brooks/Cole, Belmont, CA, 7th ed., 2010</t>
    </r>
  </si>
  <si>
    <t>D. E. Malarkey, K. Johnson, L. Ryan, G. Boorman, and R. R. Maronpot, Toxicologic Pathology, 2005, 33, 27.</t>
  </si>
  <si>
    <t>I. Banerjee, J. W. Fuseler, R. L. Price, T. K. Borg, and T. A. Baudino, Am.J.Physiol.Heart, 2007, 293, H1883; D. L. Brutsaert, Physiol.Rev., 2003, 83, 59.</t>
  </si>
  <si>
    <t>K. C. Stone, R. R. Mercer, P. Gehr, B. Stockstill, and J. D. Crapo, Am.J.Respir.Cell Mol.Biol., 1992, 6, 235.</t>
  </si>
  <si>
    <t># Cells</t>
  </si>
  <si>
    <t>Type 2 Epithelial</t>
  </si>
  <si>
    <t>Type 1 Epithelial</t>
  </si>
  <si>
    <t>#A</t>
  </si>
  <si>
    <t>#B</t>
  </si>
  <si>
    <t>%A</t>
  </si>
  <si>
    <t>%B</t>
  </si>
  <si>
    <t>#C</t>
  </si>
  <si>
    <t>%C</t>
  </si>
  <si>
    <t>Numbers times E9</t>
  </si>
  <si>
    <t>Numbers times E6</t>
  </si>
  <si>
    <t>CD45+ Microglia</t>
  </si>
  <si>
    <t>Numbers times E9; note the absence of Vascular causes a problem and hence Donor A is not included</t>
  </si>
  <si>
    <t>Cell 6</t>
  </si>
  <si>
    <t>Basofils</t>
  </si>
  <si>
    <t>L. Lyck, I. D. Santamaria, B. Pakkenberg, J. Chemnitz, H. D. Schroder, B. Finsen, and H. J. G. Gundersen, J.Neurosci.Methods, 2009, 182, 143.</t>
  </si>
  <si>
    <t>Version: 6/10/2013</t>
  </si>
  <si>
    <r>
      <t>cm</t>
    </r>
    <r>
      <rPr>
        <vertAlign val="superscript"/>
        <sz val="10"/>
        <color theme="1"/>
        <rFont val="Arial"/>
        <family val="2"/>
      </rPr>
      <t>2</t>
    </r>
  </si>
  <si>
    <r>
      <t>Ranges from 180-260 cm</t>
    </r>
    <r>
      <rPr>
        <vertAlign val="superscript"/>
        <sz val="10"/>
        <color theme="1"/>
        <rFont val="Arial"/>
        <family val="2"/>
      </rPr>
      <t>2</t>
    </r>
  </si>
  <si>
    <r>
      <t>Using 20,000,000 cells/cm</t>
    </r>
    <r>
      <rPr>
        <vertAlign val="superscript"/>
        <sz val="10"/>
        <color theme="1"/>
        <rFont val="Arial"/>
        <family val="2"/>
      </rPr>
      <t>3</t>
    </r>
  </si>
  <si>
    <r>
      <t>cells/cm</t>
    </r>
    <r>
      <rPr>
        <vertAlign val="superscript"/>
        <sz val="10"/>
        <color theme="1"/>
        <rFont val="Arial"/>
        <family val="2"/>
      </rPr>
      <t>3</t>
    </r>
  </si>
  <si>
    <r>
      <t>new cells (yr</t>
    </r>
    <r>
      <rPr>
        <vertAlign val="superscript"/>
        <sz val="10"/>
        <color theme="1"/>
        <rFont val="Arial"/>
        <family val="2"/>
      </rPr>
      <t>-1</t>
    </r>
    <r>
      <rPr>
        <sz val="10"/>
        <color theme="1"/>
        <rFont val="Arial"/>
        <family val="2"/>
      </rPr>
      <t>)</t>
    </r>
  </si>
  <si>
    <r>
      <t>MVO</t>
    </r>
    <r>
      <rPr>
        <vertAlign val="subscript"/>
        <sz val="10"/>
        <color theme="1"/>
        <rFont val="Arial"/>
        <family val="2"/>
      </rPr>
      <t>2</t>
    </r>
  </si>
  <si>
    <r>
      <t>ml 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/100g/min</t>
    </r>
  </si>
  <si>
    <r>
      <t>dynes/cm</t>
    </r>
    <r>
      <rPr>
        <vertAlign val="superscript"/>
        <sz val="10"/>
        <color theme="1"/>
        <rFont val="Arial"/>
        <family val="2"/>
      </rPr>
      <t>2</t>
    </r>
  </si>
  <si>
    <r>
      <t xml:space="preserve">Human value is average </t>
    </r>
    <r>
      <rPr>
        <i/>
        <sz val="10"/>
        <color theme="1"/>
        <rFont val="Arial"/>
        <family val="2"/>
      </rPr>
      <t>at rest</t>
    </r>
    <r>
      <rPr>
        <sz val="10"/>
        <color theme="1"/>
        <rFont val="Arial"/>
        <family val="2"/>
      </rPr>
      <t xml:space="preserve"> (250 mL 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min</t>
    </r>
    <r>
      <rPr>
        <vertAlign val="superscript"/>
        <sz val="10"/>
        <color theme="1"/>
        <rFont val="Arial"/>
        <family val="2"/>
      </rPr>
      <t>-1</t>
    </r>
    <r>
      <rPr>
        <sz val="10"/>
        <color theme="1"/>
        <rFont val="Arial"/>
        <family val="2"/>
      </rPr>
      <t>)</t>
    </r>
  </si>
  <si>
    <r>
      <t>m</t>
    </r>
    <r>
      <rPr>
        <vertAlign val="superscript"/>
        <sz val="10"/>
        <color theme="1"/>
        <rFont val="Arial"/>
        <family val="2"/>
      </rPr>
      <t>2</t>
    </r>
  </si>
  <si>
    <r>
      <t>cm</t>
    </r>
    <r>
      <rPr>
        <vertAlign val="superscript"/>
        <sz val="10"/>
        <color theme="1"/>
        <rFont val="Arial"/>
        <family val="2"/>
      </rPr>
      <t>3</t>
    </r>
  </si>
  <si>
    <r>
      <t>μm</t>
    </r>
    <r>
      <rPr>
        <vertAlign val="superscript"/>
        <sz val="10"/>
        <color theme="1"/>
        <rFont val="Arial"/>
        <family val="2"/>
      </rPr>
      <t>3</t>
    </r>
  </si>
  <si>
    <r>
      <t>μm</t>
    </r>
    <r>
      <rPr>
        <vertAlign val="superscript"/>
        <sz val="10"/>
        <color theme="1"/>
        <rFont val="Arial"/>
        <family val="2"/>
      </rPr>
      <t>2</t>
    </r>
  </si>
  <si>
    <t>Allometric power       B</t>
  </si>
  <si>
    <t>1;5</t>
  </si>
  <si>
    <t>3;5</t>
  </si>
  <si>
    <t>4;8;11</t>
  </si>
  <si>
    <t>3;12</t>
  </si>
  <si>
    <t>10;21</t>
  </si>
  <si>
    <t>22;23</t>
  </si>
  <si>
    <t>26;27</t>
  </si>
  <si>
    <t>28;29</t>
  </si>
  <si>
    <t>30;31</t>
  </si>
  <si>
    <t>34;35</t>
  </si>
  <si>
    <t>36;37</t>
  </si>
  <si>
    <t>29;39</t>
  </si>
  <si>
    <t>40;41</t>
  </si>
  <si>
    <t>27;42;43</t>
  </si>
  <si>
    <t>44;45</t>
  </si>
  <si>
    <t>46;47</t>
  </si>
  <si>
    <t>37;48</t>
  </si>
  <si>
    <t>51-54</t>
  </si>
  <si>
    <t>52;53;55</t>
  </si>
  <si>
    <t>53;59</t>
  </si>
  <si>
    <t>52;55</t>
  </si>
  <si>
    <t>53;58</t>
  </si>
  <si>
    <t>52;55;61</t>
  </si>
  <si>
    <t>51;62</t>
  </si>
  <si>
    <t>65;67</t>
  </si>
  <si>
    <t>14;65</t>
  </si>
  <si>
    <t>61;76</t>
  </si>
  <si>
    <t>77-79</t>
  </si>
  <si>
    <t>77;78;80</t>
  </si>
  <si>
    <t>77;78;81</t>
  </si>
  <si>
    <t>77;78;82</t>
  </si>
  <si>
    <t>84;85</t>
  </si>
  <si>
    <t>86;87</t>
  </si>
  <si>
    <t>Herculano-Houzel,S. The Human Brain in Numbers: a Linearly Scaled-Up Primate Brain, Front.Hum.Neurosci., 3, Article 31 2009</t>
  </si>
  <si>
    <t>Im,K, Lee,JM, Lyttelton,O, Kim,SH, Evans,AC, Kim,SI. Brain Size and Cortical Structure in the Adult Human Brain, Cerebral Cortex, 18, 2181-2191, 2008</t>
  </si>
  <si>
    <t>Herculano-Houzel,S, Mota,B, Wong,PY, Kaas,JH. Connectivity-Driven White Matter Scaling and Folding in Primate Cerebral Cortex, PNAS (US), 107, 19008-19013, 2010</t>
  </si>
  <si>
    <t>Begley,DJ. Understanding and Circumventing the Blood-Brain Barrier, Acta Paediatrica, 92, 83-91, 2003</t>
  </si>
  <si>
    <t>Azevedo,FAC, Carvalho,LRB, Grinberg,LT, Farfel,JM, Ferretti,REL, Leite,REP, Jacob,W, Lent,R, Herculano-Houzel,S. Equal Numbers of Neuronal and Nonneuronal Cells Make the Human Brain an Isometrically Scaled-Up Primate Brain, J.Comp.Neurol., 513, 532-541, 2009</t>
  </si>
  <si>
    <t>Haug,H. Brain Sizes, Surfaces, and Neuronal Sizes of the Cortex Cerebri:  A Stereological Investigation of Man and His Variability and A Comparison With Some Mammals (Primates, Whales, Marsupials, Insectivores, and One Elephant, Am.J.Anat., 180, 126-142, 1987</t>
  </si>
  <si>
    <t>Kreczmanski,P, Heinsen,H, Mantua,V, Woltersdorf,F, Masson,T, Ulfig,N, Schmidt-Kastner,R, Korr,H, Steinbusch,HWM, Hof,PR, Schmitz,C. Microvessel Length Density, Total Length, and Length Per Neuron in Five Subcortical Regions in Schizophrenia, Acta Neuropathol.(Berl)., 117, 409-421, 2009</t>
  </si>
  <si>
    <t>Reichel,A. Addressing Central Nervous System (CNS) Penetration in Drug Discovery: Basics and Implications of the Evolving New Concept, Chem.Biodivers., 6, 2030-2049, 2009</t>
  </si>
  <si>
    <t>Pakkenberg,B and Gundersen,HJG. Neocortical Neuron Number in Humans: Effect of Sex and Age, J.Comp.Neurol., 384, 312-320, 1997</t>
  </si>
  <si>
    <t>Karbowski,J. Global and Regional Brain Metabolic Scaling and Its Functional Consequences, BMC Biol., 5, Article 18 2007</t>
  </si>
  <si>
    <t>Abbott,NJ, Patabendige,AAK, Dolman,DEM, Yusof,SR, Begley,DJ. Structure and Function of the Blood-Brain Barrier, Neurobiol.Dis., 37, 13-25, 2010</t>
  </si>
  <si>
    <t>Perge,JA, Niven,JE, Mugnaini,E, Balasubramanian,V, Sterling,P. Why Do Axons Differ in Caliber?, J.Neurosci., 32, 626-638, 2012</t>
  </si>
  <si>
    <t>Lyck,L, Santamaria,ID, Pakkenberg,B, Chemnitz,J, Schroder,HD, Finsen,B, Gundersen,HJG. An Empirical Analysis of the Precision of Estimating the Numbers of Neurons and Glia in Human Neocortex Using a Fractionator-Design With Sub-Sampling, J.Neurosci.Methods, 182, 143-156, 2009</t>
  </si>
  <si>
    <t>Davies,B and Morris,T. Physiological-Parameters in Laboratory-Animals and Humans, Pharm.Res., 10, 1093-1095, 1993</t>
  </si>
  <si>
    <t>Mchenry,LC. Cerebral Blood Flow, N.Engl.J.Med., 274, 82-91, 1966</t>
  </si>
  <si>
    <t>Aanerud,J, Borghammer,P, Chakravarty,MM, Vang,K, Rodell,AB, Jonsdottir,KY, Moller,A, Ashkanian,M, Vafaee,MS, Iversen,P, Johannsen,P, Gjedde,A. Brain Energy Metabolism and Blood Flow Differences in Healthy Aging, J.Cerebr.Blood F.Met., 32, 1177-1187, 2012</t>
  </si>
  <si>
    <t>Koutsiaris,AG, Tachmitzi,SV, Batis,N, Kotoula,MG, Karabatsas,CH, Tsironi,E, Chatzoulis,DZ. Volume Flow and Wall Shear Stress Quantification in the Human Conjunctival Capillaries and Post-Capillary Venules in Vivo, Biorheology, 44, 375-386, 2007</t>
  </si>
  <si>
    <t>Cucullo,L, Hossain,M, Puvenna,V, Marchi,N, Janigro,D. The Role of Shear Stress in Blood-Brain Barrier Endothelial Physiology, BMC Neurosci., 12, 40 2011</t>
  </si>
  <si>
    <t>Aaslid,R, Lindegaard,KF, Sorteberg,W, Nornes,H. Cerebral Autoregulation Dynamics in Humans, Stroke, 20, 45-52, 1989</t>
  </si>
  <si>
    <t>Mota,B and Herculano-Houzel,S. How the Cortex Gets Its Folds: an Inside-Out, Connectivity-Driven Model for the Scaling of Mammalian Cortical Folding, Frontiers in Neuroanatomy, 6, Article 3 2012</t>
  </si>
  <si>
    <t>Herculano-Houzel,S. Scaling of Brain Metabolism With a Fixed Energy Budget Per Neuron: Implications for Neuronal Activity, Plasticity and Evolution, PloS.One., 6, Article e17514 2011</t>
  </si>
  <si>
    <t>Rakusan,K, Flanagan,MF, Geva,T, Southern,J, Vanpraagh,R. Morphometry of Human Coronary Capillaries During Normal Growth and the Effect of Age in Left-Ventricular Pressure-Overload Hypertrophy, Circulation, 86, 38-46, 1992</t>
  </si>
  <si>
    <t>Irons,RD. The Mouse in Biomedical-Research, Vol 3, Normative Biology, Immunology, and Husbandry - Foster,Hl, Small,Jd, Fox,Jg, Am.Sci., 72, 632 1984</t>
  </si>
  <si>
    <t>Edwards,WD and Kitzman,DW. Age-Related-Changes in the Anatomy of the Normal Human Heart, J.Gerontol., 45, M33-M39, 1990</t>
  </si>
  <si>
    <t>Popovic,ZB, Sun,JP, Yamada,H, Drinko,J, Mauer,K, Greenberg,NL, Cheng,YN, Moravec,CS, Penn,MS, Mazgalev,TN, Thomas,JD. Differences in Left Ventricular Long-Axis Function From Mice to Humans Follow Allometric Scaling to Ventricular Size, J.Physiol.Lond., 568, 255-265, 2005</t>
  </si>
  <si>
    <t>Lutgens,E, Daemen,MJAP, de Muinck,ED, Debets,J, Leenders,P, Smits,JFM. Chronic Myocardial Infarction in the Mouse: Cardiac Structural and Functional Changes, Cardiovasc.Res., 41, 586-593, 1999</t>
  </si>
  <si>
    <t>DeMaria,AN, Neumann,A, Lee,G, Fowler,W, Mason,DT. Alterations in Ventricular Mass and Performance Induced by Exercise Training in Man Evaluated by Echocardiography, Circulation, 57, 237-244, 1978</t>
  </si>
  <si>
    <t>Anversa,P, Kajstura,J, Reiss,K, Quaini,F, BALDINI,ALES, Olivetti,G, Sonnenblick,EH. Ischemic Cardiomyopathy: Myocyte Cell Loss, Myocyte Cellular Hypertrophy, and Myocyte Cellular Hyperplasia, Ann.New York Acad.Sci., 752, 47-64, 1995</t>
  </si>
  <si>
    <t>Olivetti,G, Capasso,JM, Sonnenblick,EH, Anversa,P. Side-To-Side Slippage of Myocytes Participates in Ventricular Wall Remodeling Acutely After Myocardial-Infarction in Rats, Circ.Res., 67, 23-34, 1990</t>
  </si>
  <si>
    <t>Vaidya,D, Morley,GE, Samie,FH, Jalife,J. Reentry and Fibrillation in the Mouse Heart - A Challenge to the Critical Mass Hypothesis, Circ.Res., 85, 174-181, 1999</t>
  </si>
  <si>
    <t>Bachner-Hinenzon,N, Ertracht,O, Leitman,M, Vered,Z, Shimoni,S, Beeri,R, Binah,O, Adam,D. Layer-Specific Strain Analysis by Speckle Tracking Echocardiography Reveals Differences in Left Ventricular Function Between Rats and Humans, Am.J.Physiol.Heart, 299, H664-H672, 2010</t>
  </si>
  <si>
    <t>Tibayan,FA, Rodriguez,F, Langer,F, Liang,D, Daughters,GT, Ingels,NB, Miller,DC. Undersized Mitral Annuloplasty Alters Left Ventricular Shape in Acute Ischemic Mitral Regurgitation, Circulation, 108, Suppl.S, 476 2003</t>
  </si>
  <si>
    <t>Indermuhle,A, Vogel,R, Meier,P, Zbinden,R, Seiler,C. Myocardial Blood Volume and Coronary Resistance During and After Coronary Angioplasty, Am.J.Physiol.Heart, 300, H1119-H1124, 2011</t>
  </si>
  <si>
    <t>Brands,J, Spaan,JAE, Van den Berg,BM, Vink,H, VanTeeffelen,JWGE. Acute Attenuation of Glycocalyx Barrier Properties Increases Coronary Blood Volume Independently of Coronary Flow Reserve, Am.J.Physiol.Heart, 298, H515-H523, 2010</t>
  </si>
  <si>
    <t>Schlosser,T, Pagonidis,K, Herborn,CU, Hunold,P, Waltering,KU, Lauenstein,TC, Barkhausen,J. Assessment of Left Ventricular Parameters Using 16-MDCT and New Software for Endocardial and Epicardial Border Delineation, Am.J.Roentgenol., 184, 765-773, 2005</t>
  </si>
  <si>
    <t>Stegger,L, Heijman,E, Schafers,KP, Nicolay,K, Schafers,MA, Strijkers,GJ. Quantification of Left Ventricular Volumes and Ejection Fraction in Mice Using PET, Compared With MRI, J.Nucl.Med., 50, 132-138, 2009</t>
  </si>
  <si>
    <t>Eisele,JC, Schaefer,IM, Nyengaard,JR, Post,H, Liebetanz,D, Brul,A, Muhlfeld,C. Effect of Voluntary Exercise on Number and Volume of Cardiomyocytes and Their Mitochondria in the Mouse Left Ventricle, Basic Res.Cardiol., 103, 12-21, 2008</t>
  </si>
  <si>
    <t>Bersell,K, Arab,S, Haring,B, Kuhn,B. Neuregulin1/ErbB4 Signaling Induces Cardiomyocyte Proliferation and Repair of Heart Injury, Cell, 138, 257-270, 2009</t>
  </si>
  <si>
    <t>Lancel,S, Joulin,O, Favory,R, Goossens,JF, Kluza,J, Chopin,C, Formstecher,P, Marchetti,P, Neviere,R. Ventricular Myocyte Caspases Are Directly Responsible for Endotoxin-Induced Cardiac Dysfunction, Circulation, 111, 2596-2604, 2005</t>
  </si>
  <si>
    <t>Nakayama,M, Yan,XH, Price,RL, Borg,TK, Ito,K, Sanbe,A, Robbins,J, Lorell,BH. Chronic Ventricular Myocyte-Specific Overexpression of Angiotensin II Type 2 Receptor Results in Intrinsic Myocyte Contractile Dysfunction, Am.J.Physiol.Heart, 288, H317-H327, 2005</t>
  </si>
  <si>
    <t>Torrance,RW. Allometric Algorithms and the Work of the Heart, Respir.Physiol., 113, 95-99, 1998</t>
  </si>
  <si>
    <t>van der Laarse,WJ. Energetics of Small Hearts, J.Physiol.Lond., 573, 1 2006</t>
  </si>
  <si>
    <t>Janssen,B, Debets,J, Leenders,P, Smits,J. Chronic Measurement of Cardiac Output in Conscious Mice, Am.J.Physiol-Reg.I., 282, R928-R935, 2002</t>
  </si>
  <si>
    <t xml:space="preserve">Cleveland Clinic Foundation. Cleveland Clinic Heart Book. 1st ed., Topol,EJ, ed. Hyperion,  New York,  2000 </t>
  </si>
  <si>
    <t>Gunther,B and Morgado,E. Allometric Scaling of Biological Rhythms in Mammals, Biol.Res., 38, 207-212, 2005</t>
  </si>
  <si>
    <t>Weinberg,PD and Ethier,CR. Twenty-Fold Difference in Hemodynamic Wall Shear Stress Between Murine and Human Aortas, J.Biomech., 40, 1594-1598, 2007</t>
  </si>
  <si>
    <t>Suarez,RK and Darveau,CA. Multi-Level Regulation and Metabolic Scaling, J.Exp.Biol., 208, 1627-1634, 2005</t>
  </si>
  <si>
    <t>Calder,WA. Scaling of Physiological Processes in Homeothermic Animals, Annu.Rev.Physiol., 43, 301-322, 1981</t>
  </si>
  <si>
    <t>Prothero,J. Organ Scaling in Mammals - the Kidneys, Comp.Biochem.Phys.A, 77, 133-138, 1984</t>
  </si>
  <si>
    <t>Mordenti,J, Chen,SA, Moore,JA, Ferraiolo,BL, Green,JD. Interspecies Scaling of Clearance and Volume of Distribution Data for 5 Therapeutic Proteins, Pharm.Res., 8, 1351-1359, 1991</t>
  </si>
  <si>
    <t>Beuchat,CA. Structure and Concentrating Ability of the Mammalian Kidney: Correlations With Habitat, Am.J.Physiol-Reg.I., 271, R157-R179, 1996</t>
  </si>
  <si>
    <t>Beuchat,CA. Metabolism and the Scaling of Urine Concentrating Ability in Mammals - Resolution of A Paradox, J.Theor.Biol., 143, 113-122, 1990</t>
  </si>
  <si>
    <t>Edwards,NA. Scaling of Renal Functions in Mammals, Comp.Biochem.Phys.A, 52, 63-66, 1975</t>
  </si>
  <si>
    <t>Calder,WA, III and Braun,EJ. Scaling of Osmotic Regulation in Mammals and Birds, Am.J.Physiol., 244, R601-R606, 1983</t>
  </si>
  <si>
    <t>Singer,MA. Of Mice and Men and Elephants: Metabolic Rate Sets Glomerular Filtration Rate, Am.J.Kidney Dis., 37, 164-178, 2001</t>
  </si>
  <si>
    <t>Boxenbaum,H. Interspecies Scaling, Allometry, Physiological Time, and the Ground Plan of Pharmacokinetics, J.Pharmacokinet.Biopharm., 10, 201-227, 1982</t>
  </si>
  <si>
    <t>Savage,VM, Allen,AP, Brown,JH, Gillooly,JF, Herman,AB, Woodruff,WH, West,GB. Scaling of Number, Size, and Metabolic Rate of Cells With Body Size in Mammals, PNAS (US), 104, 4718-4723, 2007</t>
  </si>
  <si>
    <t>Abrahams,S, Greenwald,L, Stetson,DL. Contribution of Renal Medullary Mitochondrial Density to Urinary Concentrating Ability in Mammals, Am.J.Physiol., 261, R719-R726, 1991</t>
  </si>
  <si>
    <t>Else,PL and Hulbert,AJ. An Allometric Comparison of the Mitochondria of Mammalian and Reptilian Tissues - the Implications for the Evolution of Endothermy, J.Comp.Physiol.B, 156, 3-11, 1985</t>
  </si>
  <si>
    <t>Boxenbaum,H. Interspecies Variation in Liver Weight, Hepatic Blood-Flow, and Antipyrine Intrinsic Clearance - Extrapolation of Data to Benzodiazepines and Phenytoin, J.Pharmacokinet.Biopharm., 8, 165-176, 1980</t>
  </si>
  <si>
    <t>Booth,J, Boyland,E, Cooling,C. Respiration of Human Liver Tissue, Biochem.Pharmacol., 16, 721-724, 1967</t>
  </si>
  <si>
    <t>Sohlenius-Sternbeck,AK. Determination of the Hepatocellularity Number for Human, Dog, Rabbit, Rat and Mouse Livers From Protein Concentration Measurements, Toxicol.in Vitro, 20, 1582-1586, 2006</t>
  </si>
  <si>
    <t>Couture,P and Hulbert,AJ. Relationship Between Body-Mass, Tissue Metabolic-Rate, and Sodium-Pump Activity in Mammalian Liver and Kidney, Am.J.Physiol-Reg.I., 268, R641-R650, 1995</t>
  </si>
  <si>
    <t>Domansky,K, Inman,W, Serdy,J, Dash,A, Lim,MHM, Griffith,LG. Perfused Multiwell Plate for 3D Liver Tissue Engineering, Lab Chip, 10, 51-58, 2010</t>
  </si>
  <si>
    <t>Lave,T, Dupin,S, Schmitt,C, Chou,RC, Jaeck,D, Coassolo,P. Integration of in Vitro Data into Allometric Scaling to Predict Hepatic Metabolic Clearance in Man: Application to 10 Extensively Metabolized Drugs, J.Pharm.Sci., 86, 584-590, 1997</t>
  </si>
  <si>
    <t>Stahl,WR. Scaling of Respiratory Variables in Mammals, J.Appl.Physiol., 22, 453-460, 1967</t>
  </si>
  <si>
    <t>Hou,C and Mayo,M. Pulmonary Diffusional Screening and the Scaling Laws of Mammalian Metabolic Rates, Phys.Rev.E, 84, Article 061915 2011</t>
  </si>
  <si>
    <t>Stone,KC, Mercer,RR, Gehr,P, Stockstill,B, Crapo,JD. Allometric Relationships of Cell Numbers and Size in the Mammalian Lung, Am.J.Respir.Cell Mol.Biol., 6, 235-243, 1992</t>
  </si>
  <si>
    <t>Prothero,JW. Scaling of Blood Parameters in Mammals, Comp.Biochem.Phys.A, 67, 649-657, 1980</t>
  </si>
  <si>
    <t>Kjeld,M and Olafsson,O. Allometry (Scaling) of Blood Components in Mammals: Connection With Economy of Energy?, Can.J.Zool., 86, 890-899, 2008</t>
  </si>
  <si>
    <t>Fernandez,I, Pena,A, Del Teso,N, Perez,V, Rodriguez-Cuesta,J. Clinical Biochemistry Parameters in C57BL/6J Mice After Blood Collection From the Submandibular Vein and Retroorbital Plexus, J.Am.Assoc.Lab.Anim.Sci., 49, 202-206, 2010</t>
  </si>
  <si>
    <t>Arrighi,I, Bloch-Faure,M, Grahammer,F, Bleich,M, Warth,R, Mengual,R, Drici,MD, Barhanin,J, Meneton,P. Altered Potassium Balance and Aldosterone Secretion in a Mouse Model of Human Congenital Long QT Syndrome, PNAS (US), 98, 8792-8797, 2001</t>
  </si>
  <si>
    <t>Greve,JM, Les,AS, Tang,BT, Blomme,MTD, Wilson,NM, Dalman,RL, Pelc,NJ, Taylor,CA. Allometric Scaling of Wall Shear Stress From Mice to Humans: Quantification Using Cine Phase-Contrast MRI and Computational Fluid Dynamics, Am.J.Physiol.Heart, 291, H1700-H1708, 2006</t>
  </si>
  <si>
    <t>Piret,JM and Cooney,CL. Model of Oxygen-Transport Limitations in Hollow Fiber Bioreactors, Biotechnol.Bioeng., 37, 80-92, 1991</t>
  </si>
  <si>
    <t>Hartog,A, de Anda,GFV, Gommers,D, Kaisers,U, Verbrugge,SJC, Schnabel,R, Lachmann,B. Comparison of Exogenous Surfactant Therapy, Mechanical Ventilation With High End-Expiratory Pressure and Partial Liquid Ventilation in a Model of Acute Lung Injury, British Journal of Anaesthesia, 82, 81-86, 1999</t>
  </si>
  <si>
    <t>Blood O2 Carriers</t>
  </si>
  <si>
    <t xml:space="preserve">Table S1. Structural and functional parameters to guide the scaling of organs-on-chips and human organ constructs based upon human and animal data. The user is urged to validate all numbers from the primary references cited and report any discrepancies to john.wikswo@vanderbilt.edu </t>
  </si>
  <si>
    <t>A live version of the spread sheet can be downloaded from http://www.vanderbilt.edu/viibre/organs-on-a-chip.php . There is a moderated section for comments on and additions to the table.</t>
  </si>
  <si>
    <t>&lt;&lt;ENTER 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</si>
</sst>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%"/>
    <numFmt numFmtId="167" formatCode="0.000%"/>
    <numFmt numFmtId="168" formatCode="0.0000%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Arial"/>
      <family val="2"/>
    </font>
    <font>
      <u val="single"/>
      <sz val="11"/>
      <color theme="1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575757"/>
      <name val="Arial"/>
      <family val="2"/>
    </font>
    <font>
      <u val="single"/>
      <sz val="10"/>
      <color theme="10"/>
      <name val="Calibri"/>
      <family val="2"/>
      <scheme val="minor"/>
    </font>
    <font>
      <vertAlign val="superscript"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1" xfId="0" applyFont="1" applyBorder="1" applyAlignment="1">
      <alignment vertical="center" wrapText="1"/>
    </xf>
    <xf numFmtId="166" fontId="2" fillId="0" borderId="0" xfId="15" applyNumberFormat="1" applyFont="1" applyAlignment="1">
      <alignment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 wrapText="1"/>
    </xf>
    <xf numFmtId="166" fontId="2" fillId="0" borderId="0" xfId="15" applyNumberFormat="1" applyFont="1" applyAlignment="1">
      <alignment/>
    </xf>
    <xf numFmtId="9" fontId="2" fillId="0" borderId="0" xfId="15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9" fontId="2" fillId="0" borderId="0" xfId="15" applyNumberFormat="1" applyFont="1" applyAlignment="1">
      <alignment horizontal="center" wrapText="1"/>
    </xf>
    <xf numFmtId="166" fontId="2" fillId="0" borderId="0" xfId="15" applyNumberFormat="1" applyFont="1" applyAlignment="1">
      <alignment horizontal="center" wrapText="1"/>
    </xf>
    <xf numFmtId="10" fontId="2" fillId="0" borderId="0" xfId="15" applyNumberFormat="1" applyFont="1" applyAlignment="1">
      <alignment horizontal="center" wrapText="1"/>
    </xf>
    <xf numFmtId="167" fontId="2" fillId="0" borderId="0" xfId="15" applyNumberFormat="1" applyFont="1" applyAlignment="1">
      <alignment horizontal="center" wrapText="1"/>
    </xf>
    <xf numFmtId="168" fontId="2" fillId="0" borderId="0" xfId="15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15" applyNumberFormat="1" applyFont="1" applyAlignment="1">
      <alignment horizontal="center" wrapText="1"/>
    </xf>
    <xf numFmtId="166" fontId="2" fillId="0" borderId="0" xfId="0" applyNumberFormat="1" applyFont="1" applyAlignment="1">
      <alignment wrapText="1"/>
    </xf>
    <xf numFmtId="2" fontId="2" fillId="0" borderId="0" xfId="15" applyNumberFormat="1" applyFont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11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11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11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11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11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vertical="center" wrapText="1"/>
    </xf>
    <xf numFmtId="0" fontId="16" fillId="0" borderId="0" xfId="2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 wrapText="1"/>
    </xf>
    <xf numFmtId="1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11" fontId="12" fillId="0" borderId="0" xfId="0" applyNumberFormat="1" applyFont="1" applyFill="1" applyBorder="1" applyAlignment="1">
      <alignment vertical="center" wrapText="1"/>
    </xf>
    <xf numFmtId="11" fontId="1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11" fontId="23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1" fontId="12" fillId="0" borderId="0" xfId="0" applyNumberFormat="1" applyFont="1" applyBorder="1" applyAlignment="1">
      <alignment horizontal="left" vertical="center" wrapText="1"/>
    </xf>
    <xf numFmtId="11" fontId="13" fillId="0" borderId="0" xfId="0" applyNumberFormat="1" applyFont="1" applyFill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1" fontId="11" fillId="0" borderId="0" xfId="0" applyNumberFormat="1" applyFont="1" applyFill="1" applyBorder="1" applyAlignment="1">
      <alignment horizontal="left" vertical="center" wrapText="1"/>
    </xf>
    <xf numFmtId="11" fontId="12" fillId="0" borderId="0" xfId="0" applyNumberFormat="1" applyFont="1" applyBorder="1" applyAlignment="1">
      <alignment horizontal="right" vertical="center" wrapText="1"/>
    </xf>
    <xf numFmtId="11" fontId="11" fillId="0" borderId="0" xfId="0" applyNumberFormat="1" applyFont="1" applyBorder="1" applyAlignment="1">
      <alignment horizontal="right" vertical="center" wrapText="1"/>
    </xf>
    <xf numFmtId="11" fontId="1" fillId="0" borderId="0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quotePrefix="1">
      <alignment vertical="center" wrapText="1"/>
    </xf>
    <xf numFmtId="11" fontId="1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5"/>
    </xf>
    <xf numFmtId="0" fontId="4" fillId="0" borderId="0" xfId="20" applyAlignment="1">
      <alignment horizontal="left" vertical="center" indent="5"/>
    </xf>
    <xf numFmtId="0" fontId="12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 wrapText="1"/>
    </xf>
    <xf numFmtId="11" fontId="1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11" fontId="12" fillId="3" borderId="0" xfId="0" applyNumberFormat="1" applyFont="1" applyFill="1" applyBorder="1" applyAlignment="1">
      <alignment horizontal="center" vertical="center" wrapText="1"/>
    </xf>
    <xf numFmtId="11" fontId="12" fillId="3" borderId="0" xfId="0" applyNumberFormat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11" fontId="12" fillId="0" borderId="3" xfId="0" applyNumberFormat="1" applyFont="1" applyBorder="1" applyAlignment="1">
      <alignment horizontal="right" vertical="center" wrapText="1"/>
    </xf>
    <xf numFmtId="11" fontId="13" fillId="0" borderId="3" xfId="0" applyNumberFormat="1" applyFont="1" applyFill="1" applyBorder="1" applyAlignment="1">
      <alignment horizontal="right" vertical="center" wrapText="1"/>
    </xf>
    <xf numFmtId="11" fontId="12" fillId="0" borderId="3" xfId="0" applyNumberFormat="1" applyFont="1" applyFill="1" applyBorder="1" applyAlignment="1">
      <alignment horizontal="right" vertical="center" wrapText="1"/>
    </xf>
    <xf numFmtId="11" fontId="1" fillId="0" borderId="3" xfId="0" applyNumberFormat="1" applyFont="1" applyFill="1" applyBorder="1" applyAlignment="1">
      <alignment horizontal="right" vertical="center" wrapText="1"/>
    </xf>
    <xf numFmtId="11" fontId="12" fillId="3" borderId="3" xfId="0" applyNumberFormat="1" applyFont="1" applyFill="1" applyBorder="1" applyAlignment="1">
      <alignment horizontal="right" vertical="center" wrapText="1"/>
    </xf>
    <xf numFmtId="11" fontId="12" fillId="0" borderId="3" xfId="0" applyNumberFormat="1" applyFont="1" applyBorder="1" applyAlignment="1">
      <alignment horizontal="center" vertical="center" wrapText="1"/>
    </xf>
    <xf numFmtId="11" fontId="13" fillId="0" borderId="3" xfId="0" applyNumberFormat="1" applyFont="1" applyFill="1" applyBorder="1" applyAlignment="1">
      <alignment horizontal="center" vertical="center" wrapText="1"/>
    </xf>
    <xf numFmtId="11" fontId="12" fillId="0" borderId="3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1" fontId="1" fillId="0" borderId="3" xfId="0" applyNumberFormat="1" applyFont="1" applyFill="1" applyBorder="1" applyAlignment="1">
      <alignment horizontal="center" vertical="center" wrapText="1"/>
    </xf>
    <xf numFmtId="11" fontId="12" fillId="3" borderId="3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right" vertical="center" wrapText="1"/>
    </xf>
    <xf numFmtId="11" fontId="23" fillId="0" borderId="3" xfId="0" applyNumberFormat="1" applyFont="1" applyFill="1" applyBorder="1" applyAlignment="1">
      <alignment horizontal="right" vertical="center" wrapText="1"/>
    </xf>
    <xf numFmtId="11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11" fontId="11" fillId="2" borderId="3" xfId="0" applyNumberFormat="1" applyFont="1" applyFill="1" applyBorder="1" applyAlignment="1">
      <alignment horizontal="center" vertical="center" wrapText="1"/>
    </xf>
    <xf numFmtId="11" fontId="11" fillId="2" borderId="0" xfId="0" applyNumberFormat="1" applyFont="1" applyFill="1" applyBorder="1" applyAlignment="1">
      <alignment horizontal="left" vertical="center" wrapText="1"/>
    </xf>
    <xf numFmtId="11" fontId="11" fillId="2" borderId="3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0" fillId="0" borderId="2" xfId="0" applyBorder="1"/>
    <xf numFmtId="0" fontId="12" fillId="0" borderId="2" xfId="0" applyFont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11" fontId="1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11" fontId="1" fillId="4" borderId="5" xfId="0" applyNumberFormat="1" applyFont="1" applyFill="1" applyBorder="1" applyAlignment="1">
      <alignment horizontal="right" vertical="center" wrapText="1"/>
    </xf>
    <xf numFmtId="11" fontId="1" fillId="4" borderId="4" xfId="0" applyNumberFormat="1" applyFont="1" applyFill="1" applyBorder="1" applyAlignment="1">
      <alignment horizontal="left" vertical="center" wrapText="1"/>
    </xf>
    <xf numFmtId="11" fontId="1" fillId="4" borderId="5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0" fillId="0" borderId="4" xfId="0" applyBorder="1"/>
    <xf numFmtId="0" fontId="12" fillId="0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4" fillId="0" borderId="0" xfId="0" applyFont="1" applyFill="1" applyAlignment="1">
      <alignment horizontal="righ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right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 vertical="center"/>
    </xf>
    <xf numFmtId="11" fontId="11" fillId="2" borderId="6" xfId="0" applyNumberFormat="1" applyFont="1" applyFill="1" applyBorder="1" applyAlignment="1">
      <alignment horizontal="left" vertical="center"/>
    </xf>
    <xf numFmtId="11" fontId="1" fillId="4" borderId="7" xfId="0" applyNumberFormat="1" applyFont="1" applyFill="1" applyBorder="1" applyAlignment="1">
      <alignment horizontal="center" vertical="center" wrapText="1"/>
    </xf>
    <xf numFmtId="11" fontId="12" fillId="3" borderId="6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0" fillId="0" borderId="1" xfId="0" applyBorder="1"/>
    <xf numFmtId="0" fontId="12" fillId="4" borderId="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right" vertical="center" wrapText="1"/>
    </xf>
    <xf numFmtId="11" fontId="12" fillId="4" borderId="4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left" vertical="center" wrapText="1"/>
    </xf>
    <xf numFmtId="11" fontId="12" fillId="4" borderId="5" xfId="0" applyNumberFormat="1" applyFont="1" applyFill="1" applyBorder="1" applyAlignment="1">
      <alignment horizontal="right" vertical="center" wrapText="1"/>
    </xf>
    <xf numFmtId="11" fontId="12" fillId="4" borderId="4" xfId="0" applyNumberFormat="1" applyFont="1" applyFill="1" applyBorder="1" applyAlignment="1">
      <alignment horizontal="left" vertical="center" wrapText="1"/>
    </xf>
    <xf numFmtId="11" fontId="12" fillId="4" borderId="5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left" vertical="center"/>
    </xf>
    <xf numFmtId="0" fontId="12" fillId="0" borderId="4" xfId="0" applyFont="1" applyFill="1" applyBorder="1" applyAlignment="1">
      <alignment vertical="center"/>
    </xf>
    <xf numFmtId="11" fontId="22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 quotePrefix="1">
      <alignment vertical="center" wrapText="1"/>
    </xf>
    <xf numFmtId="49" fontId="12" fillId="4" borderId="4" xfId="0" applyNumberFormat="1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right" vertical="center" wrapText="1"/>
    </xf>
    <xf numFmtId="11" fontId="1" fillId="5" borderId="2" xfId="0" applyNumberFormat="1" applyFont="1" applyFill="1" applyBorder="1" applyAlignment="1">
      <alignment horizontal="center" vertical="center" wrapText="1"/>
    </xf>
    <xf numFmtId="2" fontId="1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left" vertical="center" wrapText="1"/>
    </xf>
    <xf numFmtId="11" fontId="1" fillId="5" borderId="8" xfId="0" applyNumberFormat="1" applyFont="1" applyFill="1" applyBorder="1" applyAlignment="1">
      <alignment horizontal="right" vertical="center" wrapText="1"/>
    </xf>
    <xf numFmtId="11" fontId="1" fillId="5" borderId="2" xfId="0" applyNumberFormat="1" applyFont="1" applyFill="1" applyBorder="1" applyAlignment="1">
      <alignment horizontal="left" vertical="center" wrapText="1"/>
    </xf>
    <xf numFmtId="11" fontId="1" fillId="5" borderId="8" xfId="0" applyNumberFormat="1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 wrapText="1"/>
    </xf>
    <xf numFmtId="11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11" fontId="1" fillId="5" borderId="10" xfId="0" applyNumberFormat="1" applyFont="1" applyFill="1" applyBorder="1" applyAlignment="1">
      <alignment horizontal="right" vertical="center" wrapText="1"/>
    </xf>
    <xf numFmtId="11" fontId="1" fillId="5" borderId="1" xfId="0" applyNumberFormat="1" applyFont="1" applyFill="1" applyBorder="1" applyAlignment="1">
      <alignment horizontal="left" vertical="center" wrapText="1"/>
    </xf>
    <xf numFmtId="11" fontId="1" fillId="5" borderId="10" xfId="0" applyNumberFormat="1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5" fillId="5" borderId="8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11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11" fontId="12" fillId="0" borderId="8" xfId="0" applyNumberFormat="1" applyFont="1" applyBorder="1" applyAlignment="1">
      <alignment horizontal="right" vertical="center" wrapText="1"/>
    </xf>
    <xf numFmtId="11" fontId="12" fillId="0" borderId="2" xfId="0" applyNumberFormat="1" applyFont="1" applyBorder="1" applyAlignment="1">
      <alignment horizontal="left" vertical="center" wrapText="1"/>
    </xf>
    <xf numFmtId="11" fontId="12" fillId="0" borderId="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4" fillId="0" borderId="0" xfId="20" applyBorder="1" applyAlignment="1">
      <alignment horizontal="center" vertical="center"/>
    </xf>
    <xf numFmtId="0" fontId="0" fillId="0" borderId="0" xfId="0" applyBorder="1" applyAlignment="1">
      <alignment horizontal="left" vertical="center" indent="5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18" fillId="0" borderId="0" xfId="20" applyFont="1" applyFill="1" applyBorder="1" applyAlignment="1">
      <alignment vertical="center" wrapText="1"/>
    </xf>
    <xf numFmtId="11" fontId="12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 wrapText="1"/>
    </xf>
    <xf numFmtId="0" fontId="16" fillId="0" borderId="0" xfId="2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/>
    </xf>
    <xf numFmtId="0" fontId="0" fillId="0" borderId="0" xfId="0" applyFill="1"/>
    <xf numFmtId="0" fontId="15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/>
    <xf numFmtId="0" fontId="1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  <xf numFmtId="0" fontId="0" fillId="0" borderId="0" xfId="0" applyFill="1" applyAlignment="1">
      <alignment horizontal="left" vertical="center" indent="5"/>
    </xf>
    <xf numFmtId="11" fontId="11" fillId="0" borderId="14" xfId="0" applyNumberFormat="1" applyFont="1" applyFill="1" applyBorder="1" applyAlignment="1">
      <alignment horizontal="center" vertical="center" wrapText="1"/>
    </xf>
    <xf numFmtId="11" fontId="11" fillId="6" borderId="14" xfId="0" applyNumberFormat="1" applyFont="1" applyFill="1" applyBorder="1" applyAlignment="1">
      <alignment horizontal="center" vertical="center" wrapText="1"/>
    </xf>
    <xf numFmtId="11" fontId="11" fillId="0" borderId="0" xfId="0" applyNumberFormat="1" applyFont="1" applyFill="1" applyBorder="1" applyAlignment="1">
      <alignment horizontal="center" vertical="center" wrapText="1"/>
    </xf>
    <xf numFmtId="11" fontId="11" fillId="0" borderId="0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/>
    </xf>
    <xf numFmtId="11" fontId="11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437"/>
  <sheetViews>
    <sheetView tabSelected="1" zoomScale="85" zoomScaleNormal="85" workbookViewId="0" topLeftCell="A1">
      <pane xSplit="3" ySplit="5" topLeftCell="D85" activePane="bottomRight" state="frozen"/>
      <selection pane="topRight" activeCell="C1" sqref="C1"/>
      <selection pane="bottomLeft" activeCell="A2" sqref="A2"/>
      <selection pane="bottomRight" activeCell="Z85" sqref="Z85"/>
    </sheetView>
  </sheetViews>
  <sheetFormatPr defaultColWidth="10.28125" defaultRowHeight="15"/>
  <cols>
    <col min="1" max="1" width="10.421875" style="105" bestFit="1" customWidth="1"/>
    <col min="2" max="2" width="10.28125" style="37" customWidth="1"/>
    <col min="3" max="3" width="36.421875" style="77" customWidth="1"/>
    <col min="4" max="4" width="17.7109375" style="37" customWidth="1"/>
    <col min="5" max="5" width="11.7109375" style="40" bestFit="1" customWidth="1"/>
    <col min="6" max="6" width="10.7109375" style="41" customWidth="1"/>
    <col min="7" max="7" width="3.57421875" style="38" customWidth="1"/>
    <col min="8" max="8" width="6.7109375" style="38" customWidth="1"/>
    <col min="9" max="9" width="10.421875" style="39" customWidth="1"/>
    <col min="10" max="10" width="34.00390625" style="39" customWidth="1"/>
    <col min="11" max="11" width="10.421875" style="106" bestFit="1" customWidth="1"/>
    <col min="12" max="12" width="4.7109375" style="40" customWidth="1"/>
    <col min="13" max="13" width="10.421875" style="81" bestFit="1" customWidth="1"/>
    <col min="14" max="14" width="10.421875" style="111" bestFit="1" customWidth="1"/>
    <col min="15" max="15" width="10.421875" style="40" bestFit="1" customWidth="1"/>
    <col min="16" max="16" width="10.421875" style="106" bestFit="1" customWidth="1"/>
    <col min="17" max="17" width="4.421875" style="40" customWidth="1"/>
    <col min="18" max="18" width="10.421875" style="81" bestFit="1" customWidth="1"/>
    <col min="19" max="19" width="10.421875" style="111" bestFit="1" customWidth="1"/>
    <col min="20" max="20" width="10.421875" style="40" bestFit="1" customWidth="1"/>
    <col min="21" max="21" width="10.421875" style="111" bestFit="1" customWidth="1"/>
    <col min="22" max="22" width="10.421875" style="40" bestFit="1" customWidth="1"/>
    <col min="23" max="23" width="11.28125" style="164" customWidth="1"/>
    <col min="24" max="27" width="10.28125" style="29" customWidth="1"/>
    <col min="28" max="28" width="10.421875" style="28" bestFit="1" customWidth="1"/>
    <col min="29" max="29" width="10.421875" style="30" bestFit="1" customWidth="1"/>
    <col min="30" max="30" width="10.421875" style="29" bestFit="1" customWidth="1"/>
    <col min="31" max="31" width="125.140625" style="30" customWidth="1"/>
    <col min="32" max="32" width="10.28125" style="29" customWidth="1"/>
    <col min="33" max="33" width="61.140625" style="29" customWidth="1"/>
    <col min="34" max="34" width="10.421875" style="29" bestFit="1" customWidth="1"/>
    <col min="35" max="35" width="43.00390625" style="29" customWidth="1"/>
    <col min="36" max="36" width="10.421875" style="28" bestFit="1" customWidth="1"/>
    <col min="37" max="37" width="10.28125" style="35" customWidth="1"/>
    <col min="38" max="39" width="10.28125" style="29" customWidth="1"/>
    <col min="40" max="40" width="10.28125" style="30" customWidth="1"/>
    <col min="41" max="48" width="10.28125" style="29" customWidth="1"/>
    <col min="49" max="16384" width="10.28125" style="38" customWidth="1"/>
  </cols>
  <sheetData>
    <row r="1" spans="1:48" s="129" customFormat="1" ht="15">
      <c r="A1" s="211" t="s">
        <v>643</v>
      </c>
      <c r="B1" s="212"/>
      <c r="C1" s="213"/>
      <c r="D1" s="212"/>
      <c r="E1" s="214"/>
      <c r="F1" s="215"/>
      <c r="I1" s="216"/>
      <c r="J1" s="216"/>
      <c r="K1" s="217"/>
      <c r="L1" s="214"/>
      <c r="M1" s="218"/>
      <c r="N1" s="219"/>
      <c r="O1" s="214"/>
      <c r="P1" s="217"/>
      <c r="Q1" s="214"/>
      <c r="R1" s="218"/>
      <c r="S1" s="219"/>
      <c r="T1" s="214"/>
      <c r="U1" s="219"/>
      <c r="V1" s="214"/>
      <c r="W1" s="228"/>
      <c r="X1" s="229"/>
      <c r="Y1" s="229"/>
      <c r="Z1" s="88"/>
      <c r="AA1" s="88"/>
      <c r="AB1" s="55"/>
      <c r="AC1" s="230"/>
      <c r="AD1" s="88"/>
      <c r="AE1" s="231"/>
      <c r="AF1" s="88"/>
      <c r="AG1" s="88"/>
      <c r="AH1" s="88"/>
      <c r="AI1" s="88"/>
      <c r="AJ1" s="232"/>
      <c r="AK1" s="229"/>
      <c r="AL1" s="229"/>
      <c r="AM1" s="233"/>
      <c r="AN1" s="234"/>
      <c r="AO1" s="235"/>
      <c r="AP1" s="128"/>
      <c r="AQ1" s="128"/>
      <c r="AR1" s="128"/>
      <c r="AS1" s="88"/>
      <c r="AT1" s="88"/>
      <c r="AU1" s="88"/>
      <c r="AV1" s="88"/>
    </row>
    <row r="2" spans="1:48" s="43" customFormat="1" ht="15">
      <c r="A2" s="181" t="s">
        <v>519</v>
      </c>
      <c r="B2" s="36"/>
      <c r="C2" s="147"/>
      <c r="D2" s="47"/>
      <c r="E2" s="92"/>
      <c r="F2" s="155"/>
      <c r="G2" s="78"/>
      <c r="H2" s="78"/>
      <c r="K2" s="86"/>
      <c r="L2" s="44"/>
      <c r="M2" s="44"/>
      <c r="N2" s="44"/>
      <c r="O2" s="44"/>
      <c r="P2" s="86"/>
      <c r="Q2" s="44"/>
      <c r="R2" s="44"/>
      <c r="S2" s="44"/>
      <c r="T2" s="44"/>
      <c r="U2" s="44"/>
      <c r="V2" s="44"/>
      <c r="W2" s="227"/>
      <c r="X2" s="46"/>
      <c r="Y2" s="45"/>
      <c r="Z2" s="45"/>
      <c r="AA2" s="45"/>
      <c r="AB2" s="28"/>
      <c r="AC2" s="45"/>
      <c r="AD2" s="45"/>
      <c r="AE2" s="45"/>
      <c r="AF2" s="45"/>
      <c r="AG2" s="45"/>
      <c r="AH2" s="45"/>
      <c r="AI2" s="45"/>
      <c r="AJ2" s="125"/>
      <c r="AK2" s="79"/>
      <c r="AL2" s="45"/>
      <c r="AM2" s="45"/>
      <c r="AN2" s="236"/>
      <c r="AO2" s="237"/>
      <c r="AP2"/>
      <c r="AQ2"/>
      <c r="AR2"/>
      <c r="AS2" s="45"/>
      <c r="AT2" s="45"/>
      <c r="AU2" s="45"/>
      <c r="AV2" s="45"/>
    </row>
    <row r="3" spans="1:44" s="29" customFormat="1" ht="15.75" thickBot="1">
      <c r="A3" s="181" t="s">
        <v>644</v>
      </c>
      <c r="B3" s="48"/>
      <c r="C3" s="148"/>
      <c r="D3" s="51"/>
      <c r="E3" s="51"/>
      <c r="F3" s="51"/>
      <c r="G3" s="48"/>
      <c r="H3" s="48"/>
      <c r="J3" s="49"/>
      <c r="K3" s="107"/>
      <c r="L3" s="50"/>
      <c r="M3" s="49"/>
      <c r="N3" s="112"/>
      <c r="O3" s="50"/>
      <c r="P3" s="107"/>
      <c r="Q3" s="50"/>
      <c r="R3" s="82"/>
      <c r="S3" s="112"/>
      <c r="T3" s="50"/>
      <c r="U3" s="112"/>
      <c r="V3" s="50"/>
      <c r="W3" s="160"/>
      <c r="X3" s="46"/>
      <c r="Y3" s="52"/>
      <c r="Z3" s="52"/>
      <c r="AB3" s="28"/>
      <c r="AE3" s="30"/>
      <c r="AG3" s="30"/>
      <c r="AH3" s="52"/>
      <c r="AI3" s="52"/>
      <c r="AJ3" s="28"/>
      <c r="AK3" s="79"/>
      <c r="AN3" s="238"/>
      <c r="AO3" s="237"/>
      <c r="AP3"/>
      <c r="AQ3"/>
      <c r="AR3"/>
    </row>
    <row r="4" spans="1:44" s="29" customFormat="1" ht="26.25" thickBot="1">
      <c r="A4" s="143"/>
      <c r="B4" s="28"/>
      <c r="C4" s="33"/>
      <c r="D4" s="28"/>
      <c r="E4" s="31"/>
      <c r="F4" s="32"/>
      <c r="I4" s="30"/>
      <c r="J4" s="153" t="s">
        <v>380</v>
      </c>
      <c r="K4" s="261">
        <v>70</v>
      </c>
      <c r="L4" s="262" t="str">
        <f>IF(COUNT(M4)=1,"±","")</f>
        <v/>
      </c>
      <c r="M4" s="263" t="s">
        <v>377</v>
      </c>
      <c r="N4" s="261">
        <f>K4/1000</f>
        <v>0.07</v>
      </c>
      <c r="O4" s="263" t="s">
        <v>375</v>
      </c>
      <c r="P4" s="265">
        <v>0.02</v>
      </c>
      <c r="Q4" s="262" t="str">
        <f>IF(COUNT(R4)=1,"±","")</f>
        <v/>
      </c>
      <c r="R4" s="263" t="s">
        <v>381</v>
      </c>
      <c r="S4" s="261">
        <f>N4/1000</f>
        <v>7.000000000000001E-05</v>
      </c>
      <c r="T4" s="263" t="s">
        <v>378</v>
      </c>
      <c r="U4" s="261">
        <f>S4/1000</f>
        <v>7E-08</v>
      </c>
      <c r="V4" s="260" t="s">
        <v>645</v>
      </c>
      <c r="W4" s="264"/>
      <c r="X4" s="35"/>
      <c r="Y4" s="35"/>
      <c r="Z4" s="35"/>
      <c r="AB4" s="28"/>
      <c r="AE4" s="30"/>
      <c r="AJ4" s="28"/>
      <c r="AK4" s="35"/>
      <c r="AN4" s="238"/>
      <c r="AO4" s="237"/>
      <c r="AP4"/>
      <c r="AQ4"/>
      <c r="AR4"/>
    </row>
    <row r="5" spans="1:48" s="47" customFormat="1" ht="57" customHeight="1">
      <c r="A5" s="144" t="s">
        <v>3</v>
      </c>
      <c r="B5" s="53" t="s">
        <v>379</v>
      </c>
      <c r="C5" s="149" t="s">
        <v>2</v>
      </c>
      <c r="D5" s="53" t="s">
        <v>4</v>
      </c>
      <c r="E5" s="119" t="s">
        <v>376</v>
      </c>
      <c r="F5" s="156" t="s">
        <v>533</v>
      </c>
      <c r="G5" s="120" t="s">
        <v>299</v>
      </c>
      <c r="H5" s="120" t="s">
        <v>397</v>
      </c>
      <c r="I5" s="121" t="s">
        <v>298</v>
      </c>
      <c r="J5" s="53" t="s">
        <v>382</v>
      </c>
      <c r="K5" s="122" t="s">
        <v>0</v>
      </c>
      <c r="L5" s="119" t="s">
        <v>10</v>
      </c>
      <c r="M5" s="123" t="s">
        <v>397</v>
      </c>
      <c r="N5" s="122" t="s">
        <v>9</v>
      </c>
      <c r="O5" s="119" t="s">
        <v>7</v>
      </c>
      <c r="P5" s="124" t="s">
        <v>1</v>
      </c>
      <c r="Q5" s="119" t="s">
        <v>14</v>
      </c>
      <c r="R5" s="123" t="s">
        <v>397</v>
      </c>
      <c r="S5" s="122" t="s">
        <v>5</v>
      </c>
      <c r="T5" s="119" t="s">
        <v>6</v>
      </c>
      <c r="U5" s="122" t="s">
        <v>304</v>
      </c>
      <c r="V5" s="119" t="s">
        <v>305</v>
      </c>
      <c r="W5" s="161" t="s">
        <v>15</v>
      </c>
      <c r="X5" s="84"/>
      <c r="Y5" s="84"/>
      <c r="Z5" s="84"/>
      <c r="AA5" s="84"/>
      <c r="AB5" s="239"/>
      <c r="AC5" s="125"/>
      <c r="AD5" s="125"/>
      <c r="AE5" s="125"/>
      <c r="AF5" s="125"/>
      <c r="AG5" s="125"/>
      <c r="AH5" s="125"/>
      <c r="AI5" s="125"/>
      <c r="AJ5" s="125"/>
      <c r="AK5" s="240"/>
      <c r="AL5" s="125"/>
      <c r="AM5" s="125"/>
      <c r="AN5" s="238"/>
      <c r="AO5" s="237"/>
      <c r="AP5" s="93"/>
      <c r="AQ5" s="93"/>
      <c r="AS5" s="125"/>
      <c r="AT5" s="125"/>
      <c r="AU5" s="125"/>
      <c r="AV5" s="125"/>
    </row>
    <row r="6" spans="1:48" s="142" customFormat="1" ht="15">
      <c r="A6" s="145" t="s">
        <v>218</v>
      </c>
      <c r="B6" s="130"/>
      <c r="C6" s="150"/>
      <c r="D6" s="130"/>
      <c r="E6" s="132"/>
      <c r="F6" s="157"/>
      <c r="G6" s="131"/>
      <c r="H6" s="131"/>
      <c r="I6" s="133"/>
      <c r="J6" s="133"/>
      <c r="K6" s="134"/>
      <c r="L6" s="132"/>
      <c r="M6" s="135"/>
      <c r="N6" s="136"/>
      <c r="O6" s="132"/>
      <c r="P6" s="134"/>
      <c r="Q6" s="132"/>
      <c r="R6" s="135"/>
      <c r="S6" s="136"/>
      <c r="T6" s="132"/>
      <c r="U6" s="136"/>
      <c r="V6" s="132"/>
      <c r="W6" s="162"/>
      <c r="X6" s="241"/>
      <c r="Y6" s="241"/>
      <c r="Z6" s="241"/>
      <c r="AA6" s="241"/>
      <c r="AB6" s="137"/>
      <c r="AC6" s="242"/>
      <c r="AD6" s="139"/>
      <c r="AE6" s="242"/>
      <c r="AF6" s="139"/>
      <c r="AG6" s="139"/>
      <c r="AH6" s="139"/>
      <c r="AI6" s="139"/>
      <c r="AJ6" s="243"/>
      <c r="AK6" s="138"/>
      <c r="AL6" s="139"/>
      <c r="AM6" s="139"/>
      <c r="AN6" s="244"/>
      <c r="AO6" s="245"/>
      <c r="AP6" s="140"/>
      <c r="AQ6" s="140"/>
      <c r="AR6" s="140"/>
      <c r="AS6" s="141"/>
      <c r="AT6" s="141"/>
      <c r="AU6" s="141"/>
      <c r="AV6" s="141"/>
    </row>
    <row r="7" spans="1:44" ht="25.5">
      <c r="A7" s="143" t="s">
        <v>218</v>
      </c>
      <c r="B7" s="29" t="s">
        <v>168</v>
      </c>
      <c r="C7" s="33" t="s">
        <v>398</v>
      </c>
      <c r="D7" s="28" t="s">
        <v>47</v>
      </c>
      <c r="E7" s="28">
        <v>0.029</v>
      </c>
      <c r="F7" s="28">
        <v>0.922</v>
      </c>
      <c r="G7" s="29" t="str">
        <f aca="true" t="shared" si="0" ref="G7:G9">IF(H7=""," ","+/-")</f>
        <v xml:space="preserve"> </v>
      </c>
      <c r="H7" s="29"/>
      <c r="I7" s="28"/>
      <c r="J7" s="30" t="s">
        <v>434</v>
      </c>
      <c r="K7" s="108">
        <v>1.45</v>
      </c>
      <c r="L7" s="31"/>
      <c r="M7" s="30"/>
      <c r="N7" s="113">
        <f>$E$7*N4^$F$7</f>
        <v>0.0024979192265551474</v>
      </c>
      <c r="O7" s="31">
        <f>K7/1000</f>
        <v>0.00145</v>
      </c>
      <c r="P7" s="108"/>
      <c r="Q7" s="31"/>
      <c r="R7" s="59"/>
      <c r="S7" s="113">
        <f>$E$7*S4^$F$7</f>
        <v>4.28132691191999E-06</v>
      </c>
      <c r="T7" s="31">
        <f>O7/1000</f>
        <v>1.4499999999999999E-06</v>
      </c>
      <c r="U7" s="113">
        <f>$E$7*U4^$F$7</f>
        <v>7.3380115465177405E-09</v>
      </c>
      <c r="V7" s="31">
        <f>T7/1000</f>
        <v>1.45E-09</v>
      </c>
      <c r="W7" s="160">
        <v>1</v>
      </c>
      <c r="AN7" s="238"/>
      <c r="AO7" s="237"/>
      <c r="AP7"/>
      <c r="AQ7"/>
      <c r="AR7"/>
    </row>
    <row r="8" spans="1:44" ht="25.5">
      <c r="A8" s="143" t="s">
        <v>218</v>
      </c>
      <c r="B8" s="29" t="s">
        <v>168</v>
      </c>
      <c r="C8" s="33" t="s">
        <v>297</v>
      </c>
      <c r="D8" s="28" t="s">
        <v>148</v>
      </c>
      <c r="E8" s="28"/>
      <c r="F8" s="28"/>
      <c r="G8" s="29" t="str">
        <f t="shared" si="0"/>
        <v xml:space="preserve"> </v>
      </c>
      <c r="H8" s="29"/>
      <c r="I8" s="28"/>
      <c r="J8" s="30" t="s">
        <v>296</v>
      </c>
      <c r="K8" s="108">
        <v>1500000</v>
      </c>
      <c r="L8" s="31"/>
      <c r="M8" s="30">
        <v>0.15</v>
      </c>
      <c r="N8" s="113" t="s">
        <v>62</v>
      </c>
      <c r="O8" s="31">
        <f>K8/1000</f>
        <v>1500</v>
      </c>
      <c r="P8" s="108"/>
      <c r="Q8" s="31"/>
      <c r="R8" s="59"/>
      <c r="S8" s="113" t="s">
        <v>62</v>
      </c>
      <c r="T8" s="31">
        <f aca="true" t="shared" si="1" ref="T8:T10">O8/1000</f>
        <v>1.5</v>
      </c>
      <c r="U8" s="113" t="s">
        <v>62</v>
      </c>
      <c r="V8" s="31">
        <f aca="true" t="shared" si="2" ref="V8:V10">T8/1000</f>
        <v>0.0015</v>
      </c>
      <c r="W8" s="160">
        <v>2</v>
      </c>
      <c r="AG8" s="30"/>
      <c r="AH8" s="60"/>
      <c r="AI8" s="57"/>
      <c r="AN8" s="238"/>
      <c r="AO8" s="237"/>
      <c r="AP8"/>
      <c r="AQ8"/>
      <c r="AR8"/>
    </row>
    <row r="9" spans="1:44" ht="15">
      <c r="A9" s="143" t="s">
        <v>218</v>
      </c>
      <c r="B9" s="29" t="s">
        <v>168</v>
      </c>
      <c r="C9" s="33" t="s">
        <v>294</v>
      </c>
      <c r="D9" s="28" t="s">
        <v>293</v>
      </c>
      <c r="E9" s="28"/>
      <c r="F9" s="28"/>
      <c r="G9" s="29" t="str">
        <f t="shared" si="0"/>
        <v xml:space="preserve"> </v>
      </c>
      <c r="H9" s="29"/>
      <c r="I9" s="28"/>
      <c r="J9" s="30" t="s">
        <v>295</v>
      </c>
      <c r="K9" s="108">
        <f>K20</f>
        <v>571.72</v>
      </c>
      <c r="L9" s="31"/>
      <c r="M9" s="30"/>
      <c r="N9" s="113" t="s">
        <v>62</v>
      </c>
      <c r="O9" s="31">
        <f>K9/1000</f>
        <v>0.57172</v>
      </c>
      <c r="P9" s="108"/>
      <c r="Q9" s="31"/>
      <c r="R9" s="59"/>
      <c r="S9" s="113" t="s">
        <v>62</v>
      </c>
      <c r="T9" s="31">
        <f t="shared" si="1"/>
        <v>0.00057172</v>
      </c>
      <c r="U9" s="113" t="s">
        <v>62</v>
      </c>
      <c r="V9" s="31">
        <f t="shared" si="2"/>
        <v>5.7172E-07</v>
      </c>
      <c r="W9" s="159"/>
      <c r="AG9" s="30"/>
      <c r="AH9" s="56"/>
      <c r="AI9" s="57"/>
      <c r="AN9" s="236"/>
      <c r="AO9" s="237"/>
      <c r="AP9"/>
      <c r="AQ9"/>
      <c r="AR9"/>
    </row>
    <row r="10" spans="1:44" ht="15">
      <c r="A10" s="143" t="s">
        <v>218</v>
      </c>
      <c r="B10" s="29" t="s">
        <v>168</v>
      </c>
      <c r="C10" s="33" t="s">
        <v>292</v>
      </c>
      <c r="D10" s="28" t="s">
        <v>293</v>
      </c>
      <c r="E10" s="28">
        <v>1</v>
      </c>
      <c r="F10" s="28">
        <v>1.23</v>
      </c>
      <c r="G10" s="29" t="str">
        <f>IF(H10=""," ","+/-")</f>
        <v xml:space="preserve"> </v>
      </c>
      <c r="H10" s="29"/>
      <c r="I10" s="28"/>
      <c r="J10" s="30" t="s">
        <v>433</v>
      </c>
      <c r="K10" s="108">
        <f>K9^$F$10</f>
        <v>2462.2693755966134</v>
      </c>
      <c r="L10" s="31"/>
      <c r="M10" s="30"/>
      <c r="N10" s="113" t="s">
        <v>62</v>
      </c>
      <c r="O10" s="31">
        <f>K10/1000</f>
        <v>2.4622693755966134</v>
      </c>
      <c r="P10" s="108"/>
      <c r="Q10" s="31"/>
      <c r="R10" s="59"/>
      <c r="S10" s="113" t="s">
        <v>62</v>
      </c>
      <c r="T10" s="31">
        <f t="shared" si="1"/>
        <v>0.0024622693755966133</v>
      </c>
      <c r="U10" s="113" t="s">
        <v>62</v>
      </c>
      <c r="V10" s="31">
        <f t="shared" si="2"/>
        <v>2.4622693755966133E-06</v>
      </c>
      <c r="W10" s="160">
        <v>3</v>
      </c>
      <c r="AG10" s="30"/>
      <c r="AH10" s="56"/>
      <c r="AI10" s="57"/>
      <c r="AN10" s="238"/>
      <c r="AO10" s="237"/>
      <c r="AP10"/>
      <c r="AQ10"/>
      <c r="AR10"/>
    </row>
    <row r="11" spans="1:44" ht="25.5">
      <c r="A11" s="143" t="s">
        <v>218</v>
      </c>
      <c r="B11" s="29" t="s">
        <v>168</v>
      </c>
      <c r="C11" s="33" t="s">
        <v>292</v>
      </c>
      <c r="D11" s="28" t="s">
        <v>283</v>
      </c>
      <c r="E11" s="28">
        <v>1</v>
      </c>
      <c r="F11" s="28">
        <v>1.243</v>
      </c>
      <c r="G11" s="29" t="str">
        <f aca="true" t="shared" si="3" ref="G11:G74">IF(H11=""," ","+/-")</f>
        <v>+/-</v>
      </c>
      <c r="H11" s="29">
        <v>0.036</v>
      </c>
      <c r="I11" s="28"/>
      <c r="J11" s="30" t="s">
        <v>432</v>
      </c>
      <c r="K11" s="108">
        <f>K22^$F$11</f>
        <v>2686.087450384477</v>
      </c>
      <c r="L11" s="31"/>
      <c r="M11" s="30"/>
      <c r="N11" s="113" t="s">
        <v>62</v>
      </c>
      <c r="O11" s="31">
        <f>K11/1000</f>
        <v>2.686087450384477</v>
      </c>
      <c r="P11" s="108"/>
      <c r="Q11" s="31"/>
      <c r="R11" s="59"/>
      <c r="S11" s="113" t="s">
        <v>62</v>
      </c>
      <c r="T11" s="31">
        <f>O11/1000</f>
        <v>0.002686087450384477</v>
      </c>
      <c r="U11" s="113" t="s">
        <v>62</v>
      </c>
      <c r="V11" s="31">
        <f>T11/1000</f>
        <v>2.6860874503844767E-06</v>
      </c>
      <c r="W11" s="160">
        <v>3</v>
      </c>
      <c r="AG11" s="30"/>
      <c r="AH11" s="56"/>
      <c r="AI11" s="57"/>
      <c r="AN11" s="238"/>
      <c r="AO11" s="237"/>
      <c r="AP11"/>
      <c r="AQ11"/>
      <c r="AR11"/>
    </row>
    <row r="12" spans="1:44" s="29" customFormat="1" ht="25.5">
      <c r="A12" s="143" t="s">
        <v>218</v>
      </c>
      <c r="B12" s="29" t="s">
        <v>168</v>
      </c>
      <c r="C12" s="33" t="s">
        <v>291</v>
      </c>
      <c r="D12" s="28" t="s">
        <v>270</v>
      </c>
      <c r="E12" s="28"/>
      <c r="F12" s="28"/>
      <c r="G12" s="29" t="str">
        <f t="shared" si="3"/>
        <v xml:space="preserve"> </v>
      </c>
      <c r="I12" s="28"/>
      <c r="J12" s="30" t="s">
        <v>442</v>
      </c>
      <c r="K12" s="108">
        <f>200*K13</f>
        <v>301782</v>
      </c>
      <c r="L12" s="31"/>
      <c r="M12" s="30"/>
      <c r="N12" s="113" t="s">
        <v>62</v>
      </c>
      <c r="O12" s="31">
        <f>200*O13</f>
        <v>301.782</v>
      </c>
      <c r="P12" s="108"/>
      <c r="Q12" s="31"/>
      <c r="R12" s="59"/>
      <c r="S12" s="113" t="s">
        <v>62</v>
      </c>
      <c r="T12" s="31">
        <f>200*T13</f>
        <v>0.301782</v>
      </c>
      <c r="U12" s="113" t="s">
        <v>62</v>
      </c>
      <c r="V12" s="31">
        <f>200*V13</f>
        <v>0.000301782</v>
      </c>
      <c r="W12" s="160">
        <v>4</v>
      </c>
      <c r="AB12" s="28"/>
      <c r="AC12" s="30"/>
      <c r="AE12" s="30"/>
      <c r="AG12" s="30"/>
      <c r="AH12" s="56"/>
      <c r="AI12" s="246"/>
      <c r="AJ12" s="28"/>
      <c r="AK12" s="80"/>
      <c r="AN12" s="238"/>
      <c r="AO12" s="237"/>
      <c r="AP12"/>
      <c r="AQ12"/>
      <c r="AR12"/>
    </row>
    <row r="13" spans="1:44" ht="15">
      <c r="A13" s="143" t="s">
        <v>218</v>
      </c>
      <c r="B13" s="29" t="s">
        <v>168</v>
      </c>
      <c r="C13" s="33" t="s">
        <v>290</v>
      </c>
      <c r="D13" s="28" t="s">
        <v>8</v>
      </c>
      <c r="E13" s="28">
        <v>0.029</v>
      </c>
      <c r="F13" s="28">
        <v>0.922</v>
      </c>
      <c r="G13" s="29" t="str">
        <f t="shared" si="3"/>
        <v xml:space="preserve"> </v>
      </c>
      <c r="H13" s="29"/>
      <c r="I13" s="28"/>
      <c r="J13" s="59" t="s">
        <v>441</v>
      </c>
      <c r="K13" s="108">
        <v>1508.91</v>
      </c>
      <c r="L13" s="31"/>
      <c r="M13" s="30">
        <v>299.14</v>
      </c>
      <c r="N13" s="113">
        <f>$E$13*1000*N4^$F$13</f>
        <v>2.497919226555147</v>
      </c>
      <c r="O13" s="31">
        <f>K13/1000</f>
        <v>1.50891</v>
      </c>
      <c r="P13" s="108">
        <v>0.416</v>
      </c>
      <c r="Q13" s="31"/>
      <c r="R13" s="59"/>
      <c r="S13" s="113">
        <f>$E$13*1000*S4^$F$13</f>
        <v>0.00428132691191999</v>
      </c>
      <c r="T13" s="31">
        <f>O13/1000</f>
        <v>0.00150891</v>
      </c>
      <c r="U13" s="113">
        <f>$E$13*1000*U4^$F$13</f>
        <v>7.3380115465177405E-06</v>
      </c>
      <c r="V13" s="31">
        <f>T13/1000</f>
        <v>1.50891E-06</v>
      </c>
      <c r="W13" s="160" t="s">
        <v>534</v>
      </c>
      <c r="Z13" s="52"/>
      <c r="AG13" s="30"/>
      <c r="AH13" s="56"/>
      <c r="AI13" s="246"/>
      <c r="AK13" s="80"/>
      <c r="AN13" s="238"/>
      <c r="AO13" s="237"/>
      <c r="AP13"/>
      <c r="AQ13"/>
      <c r="AR13"/>
    </row>
    <row r="14" spans="1:44" ht="15">
      <c r="A14" s="143" t="s">
        <v>218</v>
      </c>
      <c r="B14" s="29" t="s">
        <v>168</v>
      </c>
      <c r="C14" s="33" t="s">
        <v>289</v>
      </c>
      <c r="D14" s="28" t="s">
        <v>8</v>
      </c>
      <c r="E14" s="28"/>
      <c r="F14" s="28"/>
      <c r="G14" s="29" t="str">
        <f t="shared" si="3"/>
        <v xml:space="preserve"> </v>
      </c>
      <c r="H14" s="29"/>
      <c r="I14" s="28"/>
      <c r="J14" s="30"/>
      <c r="K14" s="108">
        <v>154.02</v>
      </c>
      <c r="L14" s="31"/>
      <c r="M14" s="30">
        <v>19.29</v>
      </c>
      <c r="N14" s="113" t="s">
        <v>62</v>
      </c>
      <c r="O14" s="31">
        <f aca="true" t="shared" si="4" ref="O14:O15">K14/1000</f>
        <v>0.15402000000000002</v>
      </c>
      <c r="P14" s="108">
        <v>0.056</v>
      </c>
      <c r="Q14" s="31"/>
      <c r="R14" s="59"/>
      <c r="S14" s="113" t="s">
        <v>62</v>
      </c>
      <c r="T14" s="31">
        <f>O14/1000</f>
        <v>0.00015402000000000002</v>
      </c>
      <c r="U14" s="113" t="s">
        <v>62</v>
      </c>
      <c r="V14" s="31">
        <f aca="true" t="shared" si="5" ref="V14:V15">T14/1000</f>
        <v>1.5402000000000003E-07</v>
      </c>
      <c r="W14" s="160">
        <v>5</v>
      </c>
      <c r="AG14" s="30"/>
      <c r="AH14" s="56"/>
      <c r="AI14" s="246"/>
      <c r="AK14" s="80"/>
      <c r="AN14" s="238"/>
      <c r="AO14" s="237"/>
      <c r="AP14"/>
      <c r="AQ14"/>
      <c r="AR14"/>
    </row>
    <row r="15" spans="1:44" ht="15">
      <c r="A15" s="143" t="s">
        <v>218</v>
      </c>
      <c r="B15" s="29" t="s">
        <v>168</v>
      </c>
      <c r="C15" s="33" t="s">
        <v>288</v>
      </c>
      <c r="D15" s="28" t="s">
        <v>8</v>
      </c>
      <c r="E15" s="28"/>
      <c r="F15" s="28"/>
      <c r="G15" s="29" t="str">
        <f t="shared" si="3"/>
        <v xml:space="preserve"> </v>
      </c>
      <c r="H15" s="29"/>
      <c r="I15" s="28"/>
      <c r="J15" s="30"/>
      <c r="K15" s="108">
        <v>117.66</v>
      </c>
      <c r="L15" s="31"/>
      <c r="M15" s="30">
        <v>45.42</v>
      </c>
      <c r="N15" s="113" t="s">
        <v>62</v>
      </c>
      <c r="O15" s="31">
        <f t="shared" si="4"/>
        <v>0.11766</v>
      </c>
      <c r="P15" s="108"/>
      <c r="Q15" s="31"/>
      <c r="R15" s="59"/>
      <c r="S15" s="113" t="s">
        <v>62</v>
      </c>
      <c r="T15" s="31">
        <f>O15/1000</f>
        <v>0.00011766</v>
      </c>
      <c r="U15" s="113" t="s">
        <v>62</v>
      </c>
      <c r="V15" s="31">
        <f t="shared" si="5"/>
        <v>1.1766E-07</v>
      </c>
      <c r="W15" s="160">
        <v>5</v>
      </c>
      <c r="AG15" s="30"/>
      <c r="AH15" s="56"/>
      <c r="AI15" s="57"/>
      <c r="AK15" s="247"/>
      <c r="AN15" s="238"/>
      <c r="AO15" s="237"/>
      <c r="AP15"/>
      <c r="AQ15"/>
      <c r="AR15"/>
    </row>
    <row r="16" spans="1:44" ht="25.5">
      <c r="A16" s="143" t="s">
        <v>218</v>
      </c>
      <c r="B16" s="29" t="s">
        <v>168</v>
      </c>
      <c r="C16" s="33" t="s">
        <v>287</v>
      </c>
      <c r="D16" s="28" t="s">
        <v>8</v>
      </c>
      <c r="E16" s="31">
        <f>K16/K50^F16</f>
        <v>1.0471144616886903E-08</v>
      </c>
      <c r="F16" s="28">
        <v>1.097</v>
      </c>
      <c r="G16" s="29" t="str">
        <f t="shared" si="3"/>
        <v>+/-</v>
      </c>
      <c r="H16" s="29">
        <v>0.081</v>
      </c>
      <c r="I16" s="28"/>
      <c r="J16" s="30" t="s">
        <v>465</v>
      </c>
      <c r="K16" s="108">
        <v>1232.93</v>
      </c>
      <c r="L16" s="31"/>
      <c r="M16" s="30">
        <v>233.68</v>
      </c>
      <c r="N16" s="113" t="s">
        <v>62</v>
      </c>
      <c r="O16" s="31">
        <f>$E$16*O50^$F$16</f>
        <v>0.6308678854927108</v>
      </c>
      <c r="P16" s="108">
        <v>0.173</v>
      </c>
      <c r="Q16" s="31"/>
      <c r="R16" s="59"/>
      <c r="S16" s="113" t="s">
        <v>62</v>
      </c>
      <c r="T16" s="31">
        <f>$E$16*T50^$F$16</f>
        <v>0.00032280363763234426</v>
      </c>
      <c r="U16" s="113" t="s">
        <v>62</v>
      </c>
      <c r="V16" s="31">
        <f>$E$16*V50^$F$16</f>
        <v>1.651727578228061E-07</v>
      </c>
      <c r="W16" s="160" t="s">
        <v>535</v>
      </c>
      <c r="AG16" s="30"/>
      <c r="AH16" s="56"/>
      <c r="AI16" s="57"/>
      <c r="AN16" s="238"/>
      <c r="AO16" s="237"/>
      <c r="AP16"/>
      <c r="AQ16"/>
      <c r="AR16"/>
    </row>
    <row r="17" spans="1:44" ht="51">
      <c r="A17" s="143" t="s">
        <v>218</v>
      </c>
      <c r="B17" s="29" t="s">
        <v>168</v>
      </c>
      <c r="C17" s="33" t="s">
        <v>286</v>
      </c>
      <c r="D17" s="28" t="s">
        <v>8</v>
      </c>
      <c r="E17" s="31">
        <f>K17/K50^F17</f>
        <v>4.3453353226949394E-10</v>
      </c>
      <c r="F17" s="28">
        <v>1.197</v>
      </c>
      <c r="G17" s="29" t="str">
        <f t="shared" si="3"/>
        <v>+/-</v>
      </c>
      <c r="H17" s="29">
        <v>0.091</v>
      </c>
      <c r="I17" s="28"/>
      <c r="J17" s="30" t="s">
        <v>437</v>
      </c>
      <c r="K17" s="108">
        <f>261.3*2</f>
        <v>522.6</v>
      </c>
      <c r="L17" s="31"/>
      <c r="M17" s="30">
        <f>59.85*2</f>
        <v>119.7</v>
      </c>
      <c r="N17" s="113" t="s">
        <v>62</v>
      </c>
      <c r="O17" s="31">
        <f>$E$17*O50^$F$17</f>
        <v>0.13401993574841614</v>
      </c>
      <c r="P17" s="108"/>
      <c r="Q17" s="31"/>
      <c r="R17" s="59"/>
      <c r="S17" s="113" t="s">
        <v>62</v>
      </c>
      <c r="T17" s="31">
        <f>$E$17*T50^$F$17</f>
        <v>3.4369198580194385E-05</v>
      </c>
      <c r="U17" s="113" t="s">
        <v>62</v>
      </c>
      <c r="V17" s="31">
        <f>$E$17*V50^$F$17</f>
        <v>8.813926110681573E-09</v>
      </c>
      <c r="W17" s="160">
        <v>3</v>
      </c>
      <c r="AG17" s="30"/>
      <c r="AH17" s="56"/>
      <c r="AI17" s="57"/>
      <c r="AN17" s="238"/>
      <c r="AO17" s="237"/>
      <c r="AP17"/>
      <c r="AQ17"/>
      <c r="AR17"/>
    </row>
    <row r="18" spans="1:44" ht="38.25">
      <c r="A18" s="143" t="s">
        <v>218</v>
      </c>
      <c r="B18" s="29" t="s">
        <v>168</v>
      </c>
      <c r="C18" s="33" t="s">
        <v>286</v>
      </c>
      <c r="D18" s="28" t="s">
        <v>8</v>
      </c>
      <c r="E18" s="31">
        <f>K18/K48^F18</f>
        <v>3.880486218989701E-09</v>
      </c>
      <c r="F18" s="28">
        <v>1.032</v>
      </c>
      <c r="G18" s="29" t="str">
        <f t="shared" si="3"/>
        <v>+/-</v>
      </c>
      <c r="H18" s="29">
        <v>0.04</v>
      </c>
      <c r="I18" s="28"/>
      <c r="J18" s="30" t="s">
        <v>435</v>
      </c>
      <c r="K18" s="108">
        <f aca="true" t="shared" si="6" ref="K18:K19">261.3*2</f>
        <v>522.6</v>
      </c>
      <c r="L18" s="31"/>
      <c r="M18" s="30">
        <f aca="true" t="shared" si="7" ref="M18:M19">59.85*2</f>
        <v>119.7</v>
      </c>
      <c r="N18" s="113" t="s">
        <v>62</v>
      </c>
      <c r="O18" s="31">
        <f>$E$18*O48^$F$18</f>
        <v>0.41895695592640136</v>
      </c>
      <c r="P18" s="108"/>
      <c r="Q18" s="31"/>
      <c r="R18" s="59"/>
      <c r="S18" s="113" t="s">
        <v>62</v>
      </c>
      <c r="T18" s="31">
        <f>$E$18*T48^$F$18</f>
        <v>0.0003358686010698748</v>
      </c>
      <c r="U18" s="113" t="s">
        <v>62</v>
      </c>
      <c r="V18" s="31">
        <f>$E$18*V48^$F$18</f>
        <v>2.6925848965842633E-07</v>
      </c>
      <c r="W18" s="160">
        <v>3</v>
      </c>
      <c r="AG18" s="30"/>
      <c r="AH18" s="56"/>
      <c r="AI18" s="57"/>
      <c r="AN18" s="238"/>
      <c r="AO18" s="237"/>
      <c r="AP18"/>
      <c r="AQ18"/>
      <c r="AR18"/>
    </row>
    <row r="19" spans="1:44" ht="15">
      <c r="A19" s="143" t="s">
        <v>218</v>
      </c>
      <c r="B19" s="29" t="s">
        <v>168</v>
      </c>
      <c r="C19" s="33" t="s">
        <v>286</v>
      </c>
      <c r="D19" s="28" t="s">
        <v>8</v>
      </c>
      <c r="E19" s="28">
        <f>K19/K20^F19</f>
        <v>0.357209400410118</v>
      </c>
      <c r="F19" s="28">
        <v>1.148</v>
      </c>
      <c r="G19" s="29" t="str">
        <f t="shared" si="3"/>
        <v xml:space="preserve"> </v>
      </c>
      <c r="H19" s="29"/>
      <c r="I19" s="30"/>
      <c r="J19" s="30" t="s">
        <v>436</v>
      </c>
      <c r="K19" s="108">
        <f t="shared" si="6"/>
        <v>522.6</v>
      </c>
      <c r="L19" s="31"/>
      <c r="M19" s="30">
        <f t="shared" si="7"/>
        <v>119.7</v>
      </c>
      <c r="N19" s="113">
        <f>$E$19*N20^$F$19</f>
        <v>0</v>
      </c>
      <c r="O19" s="31">
        <f>$E$19*O20^$F$19</f>
        <v>0.13368337625379956</v>
      </c>
      <c r="P19" s="108"/>
      <c r="Q19" s="31"/>
      <c r="R19" s="59"/>
      <c r="S19" s="113">
        <f>$E$19*S20^$F$19</f>
        <v>6.432955554445189E-14</v>
      </c>
      <c r="T19" s="31">
        <f>$E$19*T20^$F$19</f>
        <v>1.7143931525201483E-14</v>
      </c>
      <c r="U19" s="113">
        <f>$E$19*U20^$F$19</f>
        <v>2.0003182912717202E-17</v>
      </c>
      <c r="V19" s="31">
        <f>$E$19*V20^$F$19</f>
        <v>2.6920616135398118E-18</v>
      </c>
      <c r="W19" s="160">
        <v>3</v>
      </c>
      <c r="AG19" s="30"/>
      <c r="AH19" s="56"/>
      <c r="AI19" s="57"/>
      <c r="AN19" s="238"/>
      <c r="AO19" s="237"/>
      <c r="AP19"/>
      <c r="AQ19"/>
      <c r="AR19"/>
    </row>
    <row r="20" spans="1:44" ht="25.5">
      <c r="A20" s="143" t="s">
        <v>218</v>
      </c>
      <c r="B20" s="29" t="s">
        <v>168</v>
      </c>
      <c r="C20" s="33" t="s">
        <v>399</v>
      </c>
      <c r="D20" s="28" t="s">
        <v>8</v>
      </c>
      <c r="E20" s="31">
        <f>K20/K39^F20</f>
        <v>2.2500158921364025E-09</v>
      </c>
      <c r="F20" s="28">
        <v>1.043</v>
      </c>
      <c r="G20" s="29" t="str">
        <f t="shared" si="3"/>
        <v>+/-</v>
      </c>
      <c r="H20" s="29">
        <v>0.073</v>
      </c>
      <c r="I20" s="28"/>
      <c r="J20" s="30" t="s">
        <v>438</v>
      </c>
      <c r="K20" s="108">
        <f>285.86*2</f>
        <v>571.72</v>
      </c>
      <c r="L20" s="31"/>
      <c r="M20" s="30">
        <f>52.66*2</f>
        <v>105.32</v>
      </c>
      <c r="N20" s="113">
        <f>$E$20*N39^$F$20</f>
        <v>0</v>
      </c>
      <c r="O20" s="31">
        <f>$E$20*O39^$F$20</f>
        <v>0.424798901518303</v>
      </c>
      <c r="P20" s="108"/>
      <c r="Q20" s="31"/>
      <c r="R20" s="59"/>
      <c r="S20" s="113">
        <f>$E$20*S21^$F$20</f>
        <v>7.916048103798842E-12</v>
      </c>
      <c r="T20" s="31">
        <f>$E$20*T21^$F$20</f>
        <v>2.5017677489056244E-12</v>
      </c>
      <c r="U20" s="113">
        <f>$E$20*U21^$F$20</f>
        <v>6.9720273586523435E-15</v>
      </c>
      <c r="V20" s="31">
        <f>$E$20*V21^$F$20</f>
        <v>1.2151670632535092E-15</v>
      </c>
      <c r="W20" s="160" t="s">
        <v>535</v>
      </c>
      <c r="AG20" s="30"/>
      <c r="AH20" s="56"/>
      <c r="AI20" s="57"/>
      <c r="AN20" s="238"/>
      <c r="AO20" s="237"/>
      <c r="AP20"/>
      <c r="AQ20"/>
      <c r="AR20"/>
    </row>
    <row r="21" spans="1:44" ht="15">
      <c r="A21" s="143" t="s">
        <v>218</v>
      </c>
      <c r="B21" s="29" t="s">
        <v>168</v>
      </c>
      <c r="C21" s="33" t="s">
        <v>285</v>
      </c>
      <c r="D21" s="28" t="s">
        <v>283</v>
      </c>
      <c r="E21" s="31">
        <v>1.431</v>
      </c>
      <c r="F21" s="28">
        <v>1.059</v>
      </c>
      <c r="G21" s="29" t="str">
        <f t="shared" si="3"/>
        <v xml:space="preserve"> </v>
      </c>
      <c r="H21" s="29"/>
      <c r="I21" s="28"/>
      <c r="J21" s="30" t="s">
        <v>417</v>
      </c>
      <c r="K21" s="108">
        <f>$E21*K$13^$F21</f>
        <v>3325.4016456935956</v>
      </c>
      <c r="L21" s="31"/>
      <c r="M21" s="30"/>
      <c r="N21" s="113">
        <f>$E$21*N13^$F$21</f>
        <v>3.772898741610167</v>
      </c>
      <c r="O21" s="31">
        <f>$E$21*O13^$F$21</f>
        <v>2.2123004484690436</v>
      </c>
      <c r="P21" s="108"/>
      <c r="Q21" s="31"/>
      <c r="R21" s="59"/>
      <c r="S21" s="113">
        <f>$E$21*S13^$F$21</f>
        <v>0.004441003849342655</v>
      </c>
      <c r="T21" s="31">
        <f>$E$21*T13^$F$21</f>
        <v>0.0014717841018195294</v>
      </c>
      <c r="U21" s="113">
        <f>$E$21*U13^$F$21</f>
        <v>5.227417044714864E-06</v>
      </c>
      <c r="V21" s="31">
        <f>$E$21*V13^$F$21</f>
        <v>9.791384546650232E-07</v>
      </c>
      <c r="W21" s="160">
        <v>6</v>
      </c>
      <c r="AG21" s="30"/>
      <c r="AH21" s="56"/>
      <c r="AI21" s="57"/>
      <c r="AN21" s="238"/>
      <c r="AO21" s="237"/>
      <c r="AP21"/>
      <c r="AQ21"/>
      <c r="AR21"/>
    </row>
    <row r="22" spans="1:44" ht="15">
      <c r="A22" s="143" t="s">
        <v>218</v>
      </c>
      <c r="B22" s="29" t="s">
        <v>168</v>
      </c>
      <c r="C22" s="33" t="s">
        <v>284</v>
      </c>
      <c r="D22" s="28" t="s">
        <v>283</v>
      </c>
      <c r="E22" s="31">
        <f>0.000000888</f>
        <v>8.88E-07</v>
      </c>
      <c r="F22" s="28">
        <v>0.873</v>
      </c>
      <c r="G22" s="29" t="str">
        <f t="shared" si="3"/>
        <v>+/-</v>
      </c>
      <c r="H22" s="29">
        <v>0.102</v>
      </c>
      <c r="I22" s="29"/>
      <c r="J22" s="30" t="s">
        <v>439</v>
      </c>
      <c r="K22" s="108">
        <f>$E$22*K50^$F$22</f>
        <v>573.7795832822471</v>
      </c>
      <c r="L22" s="31"/>
      <c r="M22" s="59"/>
      <c r="N22" s="113">
        <f>$E$22*N50^$F$22</f>
        <v>0</v>
      </c>
      <c r="O22" s="31">
        <f>$E$22*O50^$F$22</f>
        <v>1.3795742854473163</v>
      </c>
      <c r="P22" s="108"/>
      <c r="Q22" s="31"/>
      <c r="R22" s="59"/>
      <c r="S22" s="113">
        <f>$E$22*S50^$F$22</f>
        <v>2.9611672538338407E-09</v>
      </c>
      <c r="T22" s="31">
        <f>$E$22*T50^$F$22</f>
        <v>0.003316997091775683</v>
      </c>
      <c r="U22" s="113">
        <f>$E$22*U50^$F$22</f>
        <v>1.1007621832528028E-11</v>
      </c>
      <c r="V22" s="31">
        <f>$E$22*V50^$F$22</f>
        <v>7.97526441519663E-06</v>
      </c>
      <c r="W22" s="160">
        <v>3</v>
      </c>
      <c r="AG22" s="30"/>
      <c r="AH22" s="56"/>
      <c r="AI22" s="57"/>
      <c r="AN22" s="238"/>
      <c r="AO22" s="237"/>
      <c r="AP22"/>
      <c r="AQ22"/>
      <c r="AR22"/>
    </row>
    <row r="23" spans="1:44" ht="15">
      <c r="A23" s="143" t="s">
        <v>218</v>
      </c>
      <c r="B23" s="29" t="s">
        <v>168</v>
      </c>
      <c r="C23" s="33" t="s">
        <v>282</v>
      </c>
      <c r="D23" s="28" t="s">
        <v>146</v>
      </c>
      <c r="E23" s="28"/>
      <c r="F23" s="28"/>
      <c r="G23" s="29" t="str">
        <f t="shared" si="3"/>
        <v xml:space="preserve"> </v>
      </c>
      <c r="H23" s="29"/>
      <c r="I23" s="28"/>
      <c r="J23" s="30" t="s">
        <v>281</v>
      </c>
      <c r="K23" s="108">
        <v>46</v>
      </c>
      <c r="L23" s="31"/>
      <c r="M23" s="30"/>
      <c r="N23" s="113" t="s">
        <v>62</v>
      </c>
      <c r="O23" s="31">
        <f>K23</f>
        <v>46</v>
      </c>
      <c r="P23" s="108"/>
      <c r="Q23" s="31"/>
      <c r="R23" s="59"/>
      <c r="S23" s="113" t="s">
        <v>62</v>
      </c>
      <c r="T23" s="31">
        <f>O23</f>
        <v>46</v>
      </c>
      <c r="U23" s="113" t="s">
        <v>62</v>
      </c>
      <c r="V23" s="31">
        <f>T23</f>
        <v>46</v>
      </c>
      <c r="W23" s="160">
        <v>7</v>
      </c>
      <c r="AG23" s="30"/>
      <c r="AH23" s="56"/>
      <c r="AI23" s="57"/>
      <c r="AN23" s="238"/>
      <c r="AO23" s="237"/>
      <c r="AP23"/>
      <c r="AQ23"/>
      <c r="AR23"/>
    </row>
    <row r="24" spans="1:44" ht="25.5">
      <c r="A24" s="143" t="s">
        <v>218</v>
      </c>
      <c r="B24" s="29" t="s">
        <v>168</v>
      </c>
      <c r="C24" s="33" t="s">
        <v>400</v>
      </c>
      <c r="D24" s="28" t="s">
        <v>280</v>
      </c>
      <c r="E24" s="28"/>
      <c r="F24" s="28"/>
      <c r="G24" s="29" t="str">
        <f t="shared" si="3"/>
        <v xml:space="preserve"> </v>
      </c>
      <c r="H24" s="29"/>
      <c r="I24" s="28"/>
      <c r="J24" s="30" t="s">
        <v>418</v>
      </c>
      <c r="K24" s="108">
        <f>K26*1000000000/K39</f>
        <v>7.552870090634441</v>
      </c>
      <c r="L24" s="31"/>
      <c r="M24" s="30"/>
      <c r="N24" s="113" t="s">
        <v>62</v>
      </c>
      <c r="O24" s="31">
        <f>K24</f>
        <v>7.552870090634441</v>
      </c>
      <c r="P24" s="108"/>
      <c r="Q24" s="31"/>
      <c r="R24" s="59"/>
      <c r="S24" s="113" t="s">
        <v>62</v>
      </c>
      <c r="T24" s="31">
        <f>O24</f>
        <v>7.552870090634441</v>
      </c>
      <c r="U24" s="113" t="s">
        <v>62</v>
      </c>
      <c r="V24" s="31">
        <f>T24</f>
        <v>7.552870090634441</v>
      </c>
      <c r="W24" s="159"/>
      <c r="AG24" s="30"/>
      <c r="AH24" s="60"/>
      <c r="AI24" s="57"/>
      <c r="AN24" s="236"/>
      <c r="AO24" s="237"/>
      <c r="AP24"/>
      <c r="AQ24"/>
      <c r="AR24"/>
    </row>
    <row r="25" spans="1:44" ht="15">
      <c r="A25" s="143" t="s">
        <v>218</v>
      </c>
      <c r="B25" s="29" t="s">
        <v>168</v>
      </c>
      <c r="C25" s="33" t="s">
        <v>279</v>
      </c>
      <c r="D25" s="28" t="s">
        <v>146</v>
      </c>
      <c r="E25" s="28"/>
      <c r="F25" s="28"/>
      <c r="G25" s="29" t="str">
        <f t="shared" si="3"/>
        <v xml:space="preserve"> </v>
      </c>
      <c r="H25" s="29"/>
      <c r="I25" s="28"/>
      <c r="J25" s="30"/>
      <c r="K25" s="108">
        <v>3</v>
      </c>
      <c r="L25" s="31"/>
      <c r="M25" s="30"/>
      <c r="N25" s="113" t="s">
        <v>62</v>
      </c>
      <c r="O25" s="31">
        <f>K25</f>
        <v>3</v>
      </c>
      <c r="P25" s="108"/>
      <c r="Q25" s="31"/>
      <c r="R25" s="59"/>
      <c r="S25" s="113" t="s">
        <v>62</v>
      </c>
      <c r="T25" s="31">
        <f>O25</f>
        <v>3</v>
      </c>
      <c r="U25" s="113" t="s">
        <v>62</v>
      </c>
      <c r="V25" s="31">
        <f>T25</f>
        <v>3</v>
      </c>
      <c r="W25" s="160">
        <v>8</v>
      </c>
      <c r="AG25" s="30"/>
      <c r="AH25" s="60"/>
      <c r="AN25" s="238"/>
      <c r="AO25" s="237"/>
      <c r="AP25"/>
      <c r="AQ25"/>
      <c r="AR25"/>
    </row>
    <row r="26" spans="1:44" ht="15">
      <c r="A26" s="143" t="s">
        <v>218</v>
      </c>
      <c r="B26" s="29" t="s">
        <v>168</v>
      </c>
      <c r="C26" s="33" t="s">
        <v>278</v>
      </c>
      <c r="D26" s="28" t="s">
        <v>277</v>
      </c>
      <c r="E26" s="28"/>
      <c r="F26" s="28"/>
      <c r="G26" s="29" t="str">
        <f t="shared" si="3"/>
        <v xml:space="preserve"> </v>
      </c>
      <c r="H26" s="29"/>
      <c r="I26" s="28"/>
      <c r="J26" s="30" t="s">
        <v>445</v>
      </c>
      <c r="K26" s="108">
        <v>650</v>
      </c>
      <c r="L26" s="31"/>
      <c r="M26" s="30"/>
      <c r="N26" s="113" t="s">
        <v>62</v>
      </c>
      <c r="O26" s="31">
        <f>O24*O39/1000000000</f>
        <v>0.65</v>
      </c>
      <c r="P26" s="108"/>
      <c r="Q26" s="31"/>
      <c r="R26" s="59"/>
      <c r="S26" s="113" t="s">
        <v>62</v>
      </c>
      <c r="T26" s="31">
        <f>T24*T39/1000000000</f>
        <v>0.00065</v>
      </c>
      <c r="U26" s="113" t="s">
        <v>62</v>
      </c>
      <c r="V26" s="31">
        <f>V24*V39/1000000000</f>
        <v>6.5E-07</v>
      </c>
      <c r="W26" s="160">
        <v>8</v>
      </c>
      <c r="AG26" s="30"/>
      <c r="AH26" s="56"/>
      <c r="AI26" s="246"/>
      <c r="AK26" s="80"/>
      <c r="AN26" s="238"/>
      <c r="AO26" s="237"/>
      <c r="AP26"/>
      <c r="AQ26"/>
      <c r="AR26"/>
    </row>
    <row r="27" spans="1:44" ht="15">
      <c r="A27" s="143" t="s">
        <v>218</v>
      </c>
      <c r="B27" s="29" t="s">
        <v>168</v>
      </c>
      <c r="C27" s="33" t="s">
        <v>401</v>
      </c>
      <c r="D27" s="28" t="s">
        <v>13</v>
      </c>
      <c r="E27" s="28"/>
      <c r="F27" s="28"/>
      <c r="G27" s="29" t="str">
        <f t="shared" si="3"/>
        <v xml:space="preserve"> </v>
      </c>
      <c r="H27" s="29"/>
      <c r="I27" s="28"/>
      <c r="J27" s="30" t="s">
        <v>443</v>
      </c>
      <c r="K27" s="108">
        <v>1</v>
      </c>
      <c r="L27" s="31"/>
      <c r="M27" s="30"/>
      <c r="N27" s="113" t="s">
        <v>62</v>
      </c>
      <c r="O27" s="31">
        <f>K27/1000</f>
        <v>0.001</v>
      </c>
      <c r="P27" s="108"/>
      <c r="Q27" s="31"/>
      <c r="R27" s="59"/>
      <c r="S27" s="113" t="s">
        <v>62</v>
      </c>
      <c r="T27" s="31">
        <f>O27/1000</f>
        <v>1E-06</v>
      </c>
      <c r="U27" s="113" t="s">
        <v>62</v>
      </c>
      <c r="V27" s="31">
        <f>T27/1000</f>
        <v>9.999999999999999E-10</v>
      </c>
      <c r="W27" s="160">
        <v>8</v>
      </c>
      <c r="AG27" s="30"/>
      <c r="AH27" s="56"/>
      <c r="AI27" s="246"/>
      <c r="AK27" s="80"/>
      <c r="AN27" s="238"/>
      <c r="AO27" s="237"/>
      <c r="AP27"/>
      <c r="AQ27"/>
      <c r="AR27"/>
    </row>
    <row r="28" spans="1:44" ht="15">
      <c r="A28" s="143" t="s">
        <v>218</v>
      </c>
      <c r="B28" s="29" t="s">
        <v>168</v>
      </c>
      <c r="C28" s="33" t="s">
        <v>276</v>
      </c>
      <c r="D28" s="28" t="s">
        <v>13</v>
      </c>
      <c r="E28" s="28"/>
      <c r="F28" s="28"/>
      <c r="G28" s="29" t="str">
        <f t="shared" si="3"/>
        <v xml:space="preserve"> </v>
      </c>
      <c r="H28" s="29"/>
      <c r="I28" s="28"/>
      <c r="J28" s="30" t="s">
        <v>440</v>
      </c>
      <c r="K28" s="108">
        <f>650000*3.14*0.0000015^2*100^3</f>
        <v>4.592250000000001</v>
      </c>
      <c r="L28" s="31"/>
      <c r="M28" s="30"/>
      <c r="N28" s="113" t="s">
        <v>62</v>
      </c>
      <c r="O28" s="31">
        <f>K28/1000</f>
        <v>0.004592250000000001</v>
      </c>
      <c r="P28" s="108"/>
      <c r="Q28" s="31"/>
      <c r="R28" s="59"/>
      <c r="S28" s="113" t="s">
        <v>62</v>
      </c>
      <c r="T28" s="31">
        <f>O28/1000</f>
        <v>4.592250000000001E-06</v>
      </c>
      <c r="U28" s="113" t="s">
        <v>62</v>
      </c>
      <c r="V28" s="31">
        <f>T28/1000</f>
        <v>4.592250000000001E-09</v>
      </c>
      <c r="W28" s="160">
        <v>9</v>
      </c>
      <c r="AG28" s="30"/>
      <c r="AH28" s="56"/>
      <c r="AI28" s="57"/>
      <c r="AN28" s="238"/>
      <c r="AO28" s="237"/>
      <c r="AP28"/>
      <c r="AQ28"/>
      <c r="AR28"/>
    </row>
    <row r="29" spans="1:44" ht="25.5">
      <c r="A29" s="143" t="s">
        <v>218</v>
      </c>
      <c r="B29" s="29" t="s">
        <v>168</v>
      </c>
      <c r="C29" s="33" t="s">
        <v>271</v>
      </c>
      <c r="D29" s="28" t="s">
        <v>270</v>
      </c>
      <c r="E29" s="28"/>
      <c r="F29" s="28"/>
      <c r="G29" s="29" t="str">
        <f t="shared" si="3"/>
        <v xml:space="preserve"> </v>
      </c>
      <c r="H29" s="29"/>
      <c r="I29" s="28"/>
      <c r="J29" s="30" t="s">
        <v>419</v>
      </c>
      <c r="K29" s="108">
        <f>131*K39*0.000000001</f>
        <v>11273.86</v>
      </c>
      <c r="L29" s="31"/>
      <c r="M29" s="59">
        <f>131*M39*0.000000001</f>
        <v>1063.72</v>
      </c>
      <c r="N29" s="113">
        <f>131*N39*0.000000001</f>
        <v>0</v>
      </c>
      <c r="O29" s="31">
        <f>131*O39*0.000000001</f>
        <v>11.27386</v>
      </c>
      <c r="P29" s="108"/>
      <c r="Q29" s="31"/>
      <c r="R29" s="59"/>
      <c r="S29" s="113">
        <f>131*S39*0.000000001</f>
        <v>0</v>
      </c>
      <c r="T29" s="31">
        <f>131*T39*0.000000001</f>
        <v>0.01127386</v>
      </c>
      <c r="U29" s="113">
        <f>131*U39*0.000000001</f>
        <v>0.001335879145666415</v>
      </c>
      <c r="V29" s="31">
        <f>131*V39*0.000000001</f>
        <v>1.1273860000000001E-05</v>
      </c>
      <c r="W29" s="160">
        <v>2</v>
      </c>
      <c r="Z29" s="52"/>
      <c r="AG29" s="30"/>
      <c r="AH29" s="56"/>
      <c r="AI29" s="57"/>
      <c r="AN29" s="238"/>
      <c r="AO29" s="237"/>
      <c r="AP29"/>
      <c r="AQ29"/>
      <c r="AR29"/>
    </row>
    <row r="30" spans="1:44" ht="15">
      <c r="A30" s="143" t="s">
        <v>218</v>
      </c>
      <c r="B30" s="29" t="s">
        <v>168</v>
      </c>
      <c r="C30" s="33" t="s">
        <v>402</v>
      </c>
      <c r="D30" s="28" t="s">
        <v>13</v>
      </c>
      <c r="E30" s="28"/>
      <c r="F30" s="28"/>
      <c r="G30" s="29" t="str">
        <f t="shared" si="3"/>
        <v xml:space="preserve"> </v>
      </c>
      <c r="H30" s="29"/>
      <c r="I30" s="28"/>
      <c r="J30" s="30"/>
      <c r="K30" s="108">
        <v>160</v>
      </c>
      <c r="L30" s="31"/>
      <c r="M30" s="30"/>
      <c r="N30" s="113" t="s">
        <v>62</v>
      </c>
      <c r="O30" s="31">
        <f>K30/1000</f>
        <v>0.16</v>
      </c>
      <c r="P30" s="108"/>
      <c r="Q30" s="31"/>
      <c r="R30" s="59"/>
      <c r="S30" s="113"/>
      <c r="T30" s="31">
        <f>O30/1000</f>
        <v>0.00016</v>
      </c>
      <c r="U30" s="113"/>
      <c r="V30" s="31">
        <f>T30/1000</f>
        <v>1.6E-07</v>
      </c>
      <c r="W30" s="160">
        <v>10</v>
      </c>
      <c r="AG30" s="30"/>
      <c r="AH30" s="56"/>
      <c r="AI30" s="57"/>
      <c r="AN30" s="238"/>
      <c r="AO30" s="237"/>
      <c r="AP30"/>
      <c r="AQ30"/>
      <c r="AR30"/>
    </row>
    <row r="31" spans="1:44" ht="15">
      <c r="A31" s="143" t="s">
        <v>218</v>
      </c>
      <c r="B31" s="29" t="s">
        <v>168</v>
      </c>
      <c r="C31" s="33" t="s">
        <v>274</v>
      </c>
      <c r="D31" s="28" t="s">
        <v>275</v>
      </c>
      <c r="E31" s="28"/>
      <c r="F31" s="28"/>
      <c r="G31" s="29" t="str">
        <f t="shared" si="3"/>
        <v xml:space="preserve"> </v>
      </c>
      <c r="H31" s="29"/>
      <c r="I31" s="28"/>
      <c r="J31" s="30"/>
      <c r="K31" s="108">
        <v>175</v>
      </c>
      <c r="L31" s="31"/>
      <c r="M31" s="30">
        <v>25</v>
      </c>
      <c r="N31" s="113" t="s">
        <v>62</v>
      </c>
      <c r="O31" s="31">
        <v>175</v>
      </c>
      <c r="P31" s="108"/>
      <c r="Q31" s="31"/>
      <c r="R31" s="59"/>
      <c r="S31" s="113" t="s">
        <v>62</v>
      </c>
      <c r="T31" s="31">
        <v>175</v>
      </c>
      <c r="U31" s="113" t="s">
        <v>62</v>
      </c>
      <c r="V31" s="31">
        <v>175</v>
      </c>
      <c r="W31" s="160" t="s">
        <v>536</v>
      </c>
      <c r="AG31" s="30"/>
      <c r="AH31" s="56"/>
      <c r="AI31" s="57"/>
      <c r="AN31" s="238"/>
      <c r="AO31" s="237"/>
      <c r="AP31"/>
      <c r="AQ31"/>
      <c r="AR31"/>
    </row>
    <row r="32" spans="1:44" s="29" customFormat="1" ht="25.5">
      <c r="A32" s="143" t="s">
        <v>218</v>
      </c>
      <c r="B32" s="29" t="s">
        <v>168</v>
      </c>
      <c r="C32" s="33" t="s">
        <v>274</v>
      </c>
      <c r="D32" s="28" t="s">
        <v>273</v>
      </c>
      <c r="E32" s="28"/>
      <c r="F32" s="28"/>
      <c r="G32" s="29" t="str">
        <f t="shared" si="3"/>
        <v xml:space="preserve"> </v>
      </c>
      <c r="I32" s="28"/>
      <c r="J32" s="30" t="s">
        <v>444</v>
      </c>
      <c r="K32" s="108">
        <v>15</v>
      </c>
      <c r="L32" s="31"/>
      <c r="M32" s="30">
        <v>3</v>
      </c>
      <c r="N32" s="113" t="s">
        <v>62</v>
      </c>
      <c r="O32" s="31">
        <f>K32/1000</f>
        <v>0.015</v>
      </c>
      <c r="P32" s="108"/>
      <c r="Q32" s="31"/>
      <c r="R32" s="59"/>
      <c r="S32" s="113" t="s">
        <v>62</v>
      </c>
      <c r="T32" s="31">
        <f>O32/1000</f>
        <v>1.4999999999999999E-05</v>
      </c>
      <c r="U32" s="113" t="s">
        <v>62</v>
      </c>
      <c r="V32" s="31">
        <f>T32/1000</f>
        <v>1.5E-08</v>
      </c>
      <c r="W32" s="160" t="s">
        <v>536</v>
      </c>
      <c r="AB32" s="28"/>
      <c r="AC32" s="30"/>
      <c r="AE32" s="30"/>
      <c r="AG32" s="30"/>
      <c r="AH32" s="56"/>
      <c r="AI32" s="57"/>
      <c r="AJ32" s="28"/>
      <c r="AK32" s="35"/>
      <c r="AN32" s="238"/>
      <c r="AO32" s="237"/>
      <c r="AP32"/>
      <c r="AQ32"/>
      <c r="AR32"/>
    </row>
    <row r="33" spans="1:44" s="29" customFormat="1" ht="25.5">
      <c r="A33" s="143" t="s">
        <v>218</v>
      </c>
      <c r="B33" s="29" t="s">
        <v>168</v>
      </c>
      <c r="C33" s="33" t="s">
        <v>272</v>
      </c>
      <c r="D33" s="28" t="s">
        <v>268</v>
      </c>
      <c r="E33" s="28"/>
      <c r="F33" s="28"/>
      <c r="G33" s="29" t="str">
        <f t="shared" si="3"/>
        <v xml:space="preserve"> </v>
      </c>
      <c r="I33" s="28"/>
      <c r="J33" s="30" t="s">
        <v>420</v>
      </c>
      <c r="K33" s="108">
        <f>174*K39</f>
        <v>14974440000000</v>
      </c>
      <c r="L33" s="31"/>
      <c r="M33" s="59"/>
      <c r="N33" s="113">
        <f>174*N39</f>
        <v>0</v>
      </c>
      <c r="O33" s="31">
        <f>174*O39</f>
        <v>14974440000</v>
      </c>
      <c r="P33" s="108"/>
      <c r="Q33" s="31"/>
      <c r="R33" s="59"/>
      <c r="S33" s="113">
        <f>174*S39</f>
        <v>0</v>
      </c>
      <c r="T33" s="31">
        <f>174*T39</f>
        <v>14974440</v>
      </c>
      <c r="U33" s="113">
        <f>174*U39</f>
        <v>1774373.827068368</v>
      </c>
      <c r="V33" s="31">
        <f>174*V39</f>
        <v>14974.44</v>
      </c>
      <c r="W33" s="159"/>
      <c r="AB33" s="28"/>
      <c r="AC33" s="30"/>
      <c r="AE33" s="30"/>
      <c r="AG33" s="30"/>
      <c r="AH33" s="56"/>
      <c r="AI33" s="57"/>
      <c r="AJ33" s="28"/>
      <c r="AK33" s="35"/>
      <c r="AN33" s="236"/>
      <c r="AO33" s="237"/>
      <c r="AP33"/>
      <c r="AQ33"/>
      <c r="AR33"/>
    </row>
    <row r="34" spans="1:44" s="29" customFormat="1" ht="38.25">
      <c r="A34" s="143" t="s">
        <v>218</v>
      </c>
      <c r="B34" s="29" t="s">
        <v>168</v>
      </c>
      <c r="C34" s="33" t="s">
        <v>269</v>
      </c>
      <c r="D34" s="28" t="s">
        <v>268</v>
      </c>
      <c r="E34" s="31">
        <f>K34/K51^F34</f>
        <v>0.3691510139824348</v>
      </c>
      <c r="F34" s="28">
        <v>0.032</v>
      </c>
      <c r="G34" s="29" t="str">
        <f t="shared" si="3"/>
        <v>+/-</v>
      </c>
      <c r="H34" s="29">
        <v>0.049</v>
      </c>
      <c r="I34" s="28"/>
      <c r="J34" s="30" t="s">
        <v>446</v>
      </c>
      <c r="K34" s="108">
        <v>0.785</v>
      </c>
      <c r="L34" s="31"/>
      <c r="M34" s="30"/>
      <c r="N34" s="113">
        <f>$E$34*N50^$F$34</f>
        <v>0</v>
      </c>
      <c r="O34" s="31">
        <v>0.758</v>
      </c>
      <c r="P34" s="108"/>
      <c r="Q34" s="31"/>
      <c r="R34" s="59"/>
      <c r="S34" s="113">
        <f>$E$34*S50^$F$34</f>
        <v>0.299509731300748</v>
      </c>
      <c r="T34" s="31">
        <v>0.758</v>
      </c>
      <c r="U34" s="113">
        <f>$E$34*U50^$F$34</f>
        <v>0.24397606581171877</v>
      </c>
      <c r="V34" s="31">
        <f>T34</f>
        <v>0.758</v>
      </c>
      <c r="W34" s="160" t="s">
        <v>537</v>
      </c>
      <c r="AB34" s="28"/>
      <c r="AC34" s="30"/>
      <c r="AE34" s="30"/>
      <c r="AG34" s="30"/>
      <c r="AH34" s="56"/>
      <c r="AI34" s="57"/>
      <c r="AJ34" s="28"/>
      <c r="AK34" s="35"/>
      <c r="AN34" s="238"/>
      <c r="AO34" s="237"/>
      <c r="AP34"/>
      <c r="AQ34"/>
      <c r="AR34"/>
    </row>
    <row r="35" spans="1:44" s="29" customFormat="1" ht="15">
      <c r="A35" s="143" t="s">
        <v>218</v>
      </c>
      <c r="B35" s="29" t="s">
        <v>168</v>
      </c>
      <c r="C35" s="33" t="s">
        <v>267</v>
      </c>
      <c r="D35" s="28" t="s">
        <v>52</v>
      </c>
      <c r="E35" s="28"/>
      <c r="F35" s="28">
        <v>0.662</v>
      </c>
      <c r="G35" s="29" t="str">
        <f t="shared" si="3"/>
        <v>+/-</v>
      </c>
      <c r="H35" s="29">
        <v>0.186</v>
      </c>
      <c r="I35" s="28"/>
      <c r="J35" s="30" t="s">
        <v>449</v>
      </c>
      <c r="K35" s="108" t="s">
        <v>228</v>
      </c>
      <c r="L35" s="31"/>
      <c r="M35" s="30"/>
      <c r="N35" s="113" t="s">
        <v>62</v>
      </c>
      <c r="O35" s="31" t="s">
        <v>228</v>
      </c>
      <c r="P35" s="108"/>
      <c r="Q35" s="31"/>
      <c r="R35" s="59"/>
      <c r="S35" s="113" t="s">
        <v>62</v>
      </c>
      <c r="T35" s="31" t="s">
        <v>228</v>
      </c>
      <c r="U35" s="113" t="s">
        <v>62</v>
      </c>
      <c r="V35" s="31" t="s">
        <v>228</v>
      </c>
      <c r="W35" s="160">
        <v>3</v>
      </c>
      <c r="AB35" s="28"/>
      <c r="AC35" s="30"/>
      <c r="AE35" s="30"/>
      <c r="AJ35" s="28"/>
      <c r="AK35" s="35"/>
      <c r="AN35" s="238"/>
      <c r="AO35" s="237"/>
      <c r="AP35"/>
      <c r="AQ35"/>
      <c r="AR35"/>
    </row>
    <row r="36" spans="1:44" s="29" customFormat="1" ht="25.5">
      <c r="A36" s="143" t="s">
        <v>218</v>
      </c>
      <c r="B36" s="29" t="s">
        <v>168</v>
      </c>
      <c r="C36" s="33" t="s">
        <v>267</v>
      </c>
      <c r="D36" s="28" t="s">
        <v>52</v>
      </c>
      <c r="E36" s="28"/>
      <c r="F36" s="28">
        <v>0.242</v>
      </c>
      <c r="G36" s="29" t="str">
        <f t="shared" si="3"/>
        <v>+/-</v>
      </c>
      <c r="H36" s="29">
        <v>0.085</v>
      </c>
      <c r="I36" s="28"/>
      <c r="J36" s="30" t="s">
        <v>448</v>
      </c>
      <c r="K36" s="108" t="s">
        <v>228</v>
      </c>
      <c r="L36" s="31"/>
      <c r="M36" s="30"/>
      <c r="N36" s="113" t="s">
        <v>62</v>
      </c>
      <c r="O36" s="31" t="s">
        <v>228</v>
      </c>
      <c r="P36" s="108"/>
      <c r="Q36" s="31"/>
      <c r="R36" s="59"/>
      <c r="S36" s="113" t="s">
        <v>62</v>
      </c>
      <c r="T36" s="31" t="s">
        <v>228</v>
      </c>
      <c r="U36" s="113" t="s">
        <v>62</v>
      </c>
      <c r="V36" s="31" t="s">
        <v>228</v>
      </c>
      <c r="W36" s="160">
        <v>3</v>
      </c>
      <c r="AB36" s="28"/>
      <c r="AC36" s="30"/>
      <c r="AE36" s="30"/>
      <c r="AJ36" s="28"/>
      <c r="AK36" s="35"/>
      <c r="AN36" s="238"/>
      <c r="AO36" s="237"/>
      <c r="AP36"/>
      <c r="AQ36"/>
      <c r="AR36"/>
    </row>
    <row r="37" spans="1:44" s="29" customFormat="1" ht="25.5">
      <c r="A37" s="143" t="s">
        <v>218</v>
      </c>
      <c r="B37" s="29" t="s">
        <v>168</v>
      </c>
      <c r="C37" s="33" t="s">
        <v>403</v>
      </c>
      <c r="D37" s="28"/>
      <c r="E37" s="28"/>
      <c r="F37" s="28">
        <v>0.86</v>
      </c>
      <c r="G37" s="29" t="str">
        <f t="shared" si="3"/>
        <v xml:space="preserve"> </v>
      </c>
      <c r="I37" s="28"/>
      <c r="J37" s="30" t="s">
        <v>447</v>
      </c>
      <c r="K37" s="108"/>
      <c r="L37" s="31"/>
      <c r="M37" s="30"/>
      <c r="N37" s="113"/>
      <c r="O37" s="31"/>
      <c r="P37" s="108"/>
      <c r="Q37" s="31"/>
      <c r="R37" s="59"/>
      <c r="S37" s="113"/>
      <c r="T37" s="31"/>
      <c r="U37" s="113"/>
      <c r="V37" s="31"/>
      <c r="W37" s="159"/>
      <c r="AB37" s="28"/>
      <c r="AC37" s="30"/>
      <c r="AE37" s="30"/>
      <c r="AJ37" s="28"/>
      <c r="AK37" s="35"/>
      <c r="AN37" s="236"/>
      <c r="AO37" s="237"/>
      <c r="AP37"/>
      <c r="AQ37"/>
      <c r="AR37"/>
    </row>
    <row r="38" spans="1:44" s="29" customFormat="1" ht="15">
      <c r="A38" s="143" t="s">
        <v>218</v>
      </c>
      <c r="B38" s="29" t="s">
        <v>168</v>
      </c>
      <c r="C38" s="33" t="s">
        <v>61</v>
      </c>
      <c r="D38" s="28" t="s">
        <v>12</v>
      </c>
      <c r="E38" s="28"/>
      <c r="F38" s="28"/>
      <c r="G38" s="29" t="str">
        <f t="shared" si="3"/>
        <v xml:space="preserve"> </v>
      </c>
      <c r="I38" s="28"/>
      <c r="J38" s="30"/>
      <c r="K38" s="108">
        <v>170000000000</v>
      </c>
      <c r="L38" s="31"/>
      <c r="M38" s="59">
        <v>13860000000</v>
      </c>
      <c r="N38" s="113">
        <f>N39+N40</f>
        <v>0</v>
      </c>
      <c r="O38" s="31">
        <f>K38/1000</f>
        <v>170000000</v>
      </c>
      <c r="P38" s="108"/>
      <c r="Q38" s="31"/>
      <c r="R38" s="59"/>
      <c r="S38" s="113">
        <f>S39+S40</f>
        <v>0</v>
      </c>
      <c r="T38" s="31">
        <f aca="true" t="shared" si="8" ref="T38:T65">O38/1000</f>
        <v>170000</v>
      </c>
      <c r="U38" s="113">
        <f>U39+U40</f>
        <v>10581.850730277976</v>
      </c>
      <c r="V38" s="31">
        <f>T38/1000</f>
        <v>170</v>
      </c>
      <c r="W38" s="160">
        <v>1</v>
      </c>
      <c r="AB38" s="28"/>
      <c r="AC38" s="61"/>
      <c r="AE38" s="30"/>
      <c r="AJ38" s="28"/>
      <c r="AK38" s="35"/>
      <c r="AN38" s="238"/>
      <c r="AO38" s="237"/>
      <c r="AP38"/>
      <c r="AQ38"/>
      <c r="AR38"/>
    </row>
    <row r="39" spans="1:44" s="29" customFormat="1" ht="15">
      <c r="A39" s="143" t="s">
        <v>218</v>
      </c>
      <c r="B39" s="29" t="s">
        <v>168</v>
      </c>
      <c r="C39" s="33" t="s">
        <v>266</v>
      </c>
      <c r="D39" s="28" t="s">
        <v>12</v>
      </c>
      <c r="E39" s="31">
        <v>5490000</v>
      </c>
      <c r="F39" s="28">
        <v>0.801</v>
      </c>
      <c r="G39" s="29" t="str">
        <f t="shared" si="3"/>
        <v xml:space="preserve"> </v>
      </c>
      <c r="I39" s="28"/>
      <c r="J39" s="30" t="s">
        <v>441</v>
      </c>
      <c r="K39" s="108">
        <v>86060000000</v>
      </c>
      <c r="L39" s="31"/>
      <c r="M39" s="59">
        <v>8120000000</v>
      </c>
      <c r="N39" s="113">
        <f>$E$39*1000*N3^$F$39</f>
        <v>0</v>
      </c>
      <c r="O39" s="31">
        <f aca="true" t="shared" si="9" ref="O39:O65">K39/1000</f>
        <v>86060000</v>
      </c>
      <c r="P39" s="108"/>
      <c r="Q39" s="31"/>
      <c r="R39" s="59"/>
      <c r="S39" s="113">
        <f>$E$39*1000*S3^$F$39</f>
        <v>0</v>
      </c>
      <c r="T39" s="31">
        <f t="shared" si="8"/>
        <v>86060</v>
      </c>
      <c r="U39" s="113">
        <f>$E$39*1000*U4^$F$39</f>
        <v>10197.550730277977</v>
      </c>
      <c r="V39" s="31">
        <f aca="true" t="shared" si="10" ref="V39:V40">T39/1000</f>
        <v>86.06</v>
      </c>
      <c r="W39" s="160" t="s">
        <v>534</v>
      </c>
      <c r="AB39" s="28"/>
      <c r="AC39" s="61"/>
      <c r="AE39" s="30"/>
      <c r="AJ39" s="28"/>
      <c r="AK39" s="35"/>
      <c r="AN39" s="238"/>
      <c r="AO39" s="237"/>
      <c r="AP39"/>
      <c r="AQ39"/>
      <c r="AR39"/>
    </row>
    <row r="40" spans="1:44" s="29" customFormat="1" ht="15">
      <c r="A40" s="143" t="s">
        <v>218</v>
      </c>
      <c r="B40" s="29" t="s">
        <v>168</v>
      </c>
      <c r="C40" s="33" t="s">
        <v>265</v>
      </c>
      <c r="D40" s="28" t="s">
        <v>12</v>
      </c>
      <c r="E40" s="31">
        <v>5490000</v>
      </c>
      <c r="F40" s="28">
        <v>1</v>
      </c>
      <c r="G40" s="29" t="str">
        <f t="shared" si="3"/>
        <v xml:space="preserve"> </v>
      </c>
      <c r="I40" s="28"/>
      <c r="J40" s="30" t="s">
        <v>441</v>
      </c>
      <c r="K40" s="108">
        <v>84610000000</v>
      </c>
      <c r="L40" s="31"/>
      <c r="M40" s="59">
        <v>9830000000</v>
      </c>
      <c r="N40" s="113">
        <f>$E$40*1000*N3</f>
        <v>0</v>
      </c>
      <c r="O40" s="31">
        <f t="shared" si="9"/>
        <v>84610000</v>
      </c>
      <c r="P40" s="108"/>
      <c r="Q40" s="31"/>
      <c r="R40" s="59"/>
      <c r="S40" s="113">
        <f>$E$40*1000*S3</f>
        <v>0</v>
      </c>
      <c r="T40" s="31">
        <f t="shared" si="8"/>
        <v>84610</v>
      </c>
      <c r="U40" s="113">
        <f>$E$40*1000*U4</f>
        <v>384.3</v>
      </c>
      <c r="V40" s="31">
        <f t="shared" si="10"/>
        <v>84.61</v>
      </c>
      <c r="W40" s="160" t="s">
        <v>534</v>
      </c>
      <c r="AB40" s="28"/>
      <c r="AC40" s="61"/>
      <c r="AE40" s="30"/>
      <c r="AJ40" s="28"/>
      <c r="AK40" s="35"/>
      <c r="AN40" s="238"/>
      <c r="AO40" s="237"/>
      <c r="AP40"/>
      <c r="AQ40"/>
      <c r="AR40"/>
    </row>
    <row r="41" spans="1:44" s="29" customFormat="1" ht="15">
      <c r="A41" s="143" t="s">
        <v>218</v>
      </c>
      <c r="B41" s="29" t="s">
        <v>168</v>
      </c>
      <c r="C41" s="33" t="s">
        <v>476</v>
      </c>
      <c r="D41" s="28"/>
      <c r="E41" s="31"/>
      <c r="F41" s="28"/>
      <c r="G41" s="29" t="str">
        <f t="shared" si="3"/>
        <v xml:space="preserve"> </v>
      </c>
      <c r="I41" s="28"/>
      <c r="J41" s="30"/>
      <c r="K41" s="108">
        <f>K40/K39</f>
        <v>0.9831512897978155</v>
      </c>
      <c r="L41" s="31"/>
      <c r="M41" s="59"/>
      <c r="N41" s="113" t="s">
        <v>62</v>
      </c>
      <c r="O41" s="31">
        <f>O40/O39</f>
        <v>0.9831512897978155</v>
      </c>
      <c r="P41" s="108"/>
      <c r="Q41" s="31"/>
      <c r="R41" s="59"/>
      <c r="S41" s="113" t="s">
        <v>62</v>
      </c>
      <c r="T41" s="31">
        <f>T40/T39</f>
        <v>0.9831512897978155</v>
      </c>
      <c r="U41" s="113" t="s">
        <v>62</v>
      </c>
      <c r="V41" s="31">
        <f>V40/V39</f>
        <v>0.9831512897978154</v>
      </c>
      <c r="W41" s="159"/>
      <c r="AB41" s="28"/>
      <c r="AC41" s="61"/>
      <c r="AE41" s="30"/>
      <c r="AJ41" s="28"/>
      <c r="AK41" s="35"/>
      <c r="AN41" s="236"/>
      <c r="AO41" s="237"/>
      <c r="AP41"/>
      <c r="AQ41"/>
      <c r="AR41"/>
    </row>
    <row r="42" spans="1:44" s="29" customFormat="1" ht="15">
      <c r="A42" s="143" t="s">
        <v>218</v>
      </c>
      <c r="B42" s="29" t="s">
        <v>168</v>
      </c>
      <c r="C42" s="33" t="s">
        <v>404</v>
      </c>
      <c r="D42" s="28" t="s">
        <v>12</v>
      </c>
      <c r="E42" s="31"/>
      <c r="F42" s="28"/>
      <c r="G42" s="29" t="str">
        <f t="shared" si="3"/>
        <v xml:space="preserve"> </v>
      </c>
      <c r="I42" s="28"/>
      <c r="J42" s="30"/>
      <c r="K42" s="108">
        <v>85050000000</v>
      </c>
      <c r="L42" s="31"/>
      <c r="M42" s="59">
        <v>6920000000</v>
      </c>
      <c r="N42" s="113" t="s">
        <v>62</v>
      </c>
      <c r="O42" s="31">
        <f t="shared" si="9"/>
        <v>85050000</v>
      </c>
      <c r="P42" s="108"/>
      <c r="Q42" s="31"/>
      <c r="R42" s="59"/>
      <c r="S42" s="113" t="s">
        <v>62</v>
      </c>
      <c r="T42" s="31">
        <f t="shared" si="8"/>
        <v>85050</v>
      </c>
      <c r="U42" s="113" t="s">
        <v>62</v>
      </c>
      <c r="V42" s="31">
        <f>T42/1000</f>
        <v>85.05</v>
      </c>
      <c r="W42" s="160">
        <v>5</v>
      </c>
      <c r="AB42" s="28"/>
      <c r="AC42" s="61"/>
      <c r="AE42" s="30"/>
      <c r="AJ42" s="28"/>
      <c r="AK42" s="35"/>
      <c r="AN42" s="238"/>
      <c r="AO42" s="237"/>
      <c r="AP42"/>
      <c r="AQ42"/>
      <c r="AR42"/>
    </row>
    <row r="43" spans="1:44" s="29" customFormat="1" ht="15">
      <c r="A43" s="143" t="s">
        <v>218</v>
      </c>
      <c r="B43" s="29" t="s">
        <v>168</v>
      </c>
      <c r="C43" s="33" t="s">
        <v>264</v>
      </c>
      <c r="D43" s="28" t="s">
        <v>12</v>
      </c>
      <c r="E43" s="31"/>
      <c r="F43" s="28"/>
      <c r="G43" s="29" t="str">
        <f t="shared" si="3"/>
        <v xml:space="preserve"> </v>
      </c>
      <c r="I43" s="28"/>
      <c r="J43" s="30"/>
      <c r="K43" s="108">
        <v>69030000000</v>
      </c>
      <c r="L43" s="31"/>
      <c r="M43" s="59">
        <v>6650000000</v>
      </c>
      <c r="N43" s="113" t="s">
        <v>62</v>
      </c>
      <c r="O43" s="31">
        <f t="shared" si="9"/>
        <v>69030000</v>
      </c>
      <c r="P43" s="108">
        <v>42000000</v>
      </c>
      <c r="Q43" s="31"/>
      <c r="R43" s="59"/>
      <c r="S43" s="113" t="s">
        <v>62</v>
      </c>
      <c r="T43" s="31">
        <f t="shared" si="8"/>
        <v>69030</v>
      </c>
      <c r="U43" s="113" t="s">
        <v>62</v>
      </c>
      <c r="V43" s="31">
        <f aca="true" t="shared" si="11" ref="V43:V65">T43/1000</f>
        <v>69.03</v>
      </c>
      <c r="W43" s="160">
        <v>5</v>
      </c>
      <c r="AB43" s="28"/>
      <c r="AC43" s="61"/>
      <c r="AE43" s="30"/>
      <c r="AJ43" s="28"/>
      <c r="AK43" s="35"/>
      <c r="AN43" s="238"/>
      <c r="AO43" s="237"/>
      <c r="AP43"/>
      <c r="AQ43"/>
      <c r="AR43"/>
    </row>
    <row r="44" spans="1:44" s="29" customFormat="1" ht="15">
      <c r="A44" s="143" t="s">
        <v>218</v>
      </c>
      <c r="B44" s="29" t="s">
        <v>168</v>
      </c>
      <c r="C44" s="33" t="s">
        <v>263</v>
      </c>
      <c r="D44" s="28" t="s">
        <v>12</v>
      </c>
      <c r="E44" s="31"/>
      <c r="F44" s="28"/>
      <c r="G44" s="29" t="str">
        <f t="shared" si="3"/>
        <v xml:space="preserve"> </v>
      </c>
      <c r="I44" s="28"/>
      <c r="J44" s="30"/>
      <c r="K44" s="108">
        <v>16040000000</v>
      </c>
      <c r="L44" s="31"/>
      <c r="M44" s="59">
        <v>2170000000</v>
      </c>
      <c r="N44" s="113" t="s">
        <v>62</v>
      </c>
      <c r="O44" s="31">
        <f t="shared" si="9"/>
        <v>16040000</v>
      </c>
      <c r="P44" s="108"/>
      <c r="Q44" s="31"/>
      <c r="R44" s="59"/>
      <c r="S44" s="113" t="s">
        <v>62</v>
      </c>
      <c r="T44" s="31">
        <f t="shared" si="8"/>
        <v>16040</v>
      </c>
      <c r="U44" s="113" t="s">
        <v>62</v>
      </c>
      <c r="V44" s="31">
        <f t="shared" si="11"/>
        <v>16.04</v>
      </c>
      <c r="W44" s="160">
        <v>5</v>
      </c>
      <c r="AB44" s="28"/>
      <c r="AC44" s="61"/>
      <c r="AE44" s="30"/>
      <c r="AJ44" s="28"/>
      <c r="AK44" s="35"/>
      <c r="AN44" s="238"/>
      <c r="AO44" s="237"/>
      <c r="AP44"/>
      <c r="AQ44"/>
      <c r="AR44"/>
    </row>
    <row r="45" spans="1:44" s="29" customFormat="1" ht="15">
      <c r="A45" s="143" t="s">
        <v>218</v>
      </c>
      <c r="B45" s="29" t="s">
        <v>168</v>
      </c>
      <c r="C45" s="33" t="s">
        <v>475</v>
      </c>
      <c r="D45" s="28"/>
      <c r="E45" s="31"/>
      <c r="F45" s="28"/>
      <c r="G45" s="29" t="str">
        <f t="shared" si="3"/>
        <v xml:space="preserve"> </v>
      </c>
      <c r="I45" s="28"/>
      <c r="J45" s="30"/>
      <c r="K45" s="108">
        <f>K44/K43</f>
        <v>0.23236274083731712</v>
      </c>
      <c r="L45" s="31"/>
      <c r="M45" s="59"/>
      <c r="N45" s="113" t="s">
        <v>62</v>
      </c>
      <c r="O45" s="31">
        <f>O44/O43</f>
        <v>0.23236274083731712</v>
      </c>
      <c r="P45" s="108"/>
      <c r="Q45" s="31"/>
      <c r="R45" s="59"/>
      <c r="S45" s="113" t="s">
        <v>62</v>
      </c>
      <c r="T45" s="31">
        <f>T44/T43</f>
        <v>0.23236274083731712</v>
      </c>
      <c r="U45" s="113" t="s">
        <v>62</v>
      </c>
      <c r="V45" s="31">
        <f>V44/V43</f>
        <v>0.2323627408373171</v>
      </c>
      <c r="W45" s="159"/>
      <c r="AB45" s="28"/>
      <c r="AC45" s="61"/>
      <c r="AE45" s="30"/>
      <c r="AJ45" s="28"/>
      <c r="AK45" s="35"/>
      <c r="AN45" s="236"/>
      <c r="AO45" s="237"/>
      <c r="AP45"/>
      <c r="AQ45"/>
      <c r="AR45"/>
    </row>
    <row r="46" spans="1:44" s="29" customFormat="1" ht="15">
      <c r="A46" s="143" t="s">
        <v>218</v>
      </c>
      <c r="B46" s="29" t="s">
        <v>168</v>
      </c>
      <c r="C46" s="33" t="s">
        <v>405</v>
      </c>
      <c r="D46" s="28" t="s">
        <v>12</v>
      </c>
      <c r="E46" s="31"/>
      <c r="F46" s="28"/>
      <c r="G46" s="29" t="str">
        <f t="shared" si="3"/>
        <v xml:space="preserve"> </v>
      </c>
      <c r="I46" s="28"/>
      <c r="J46" s="30"/>
      <c r="K46" s="108">
        <v>77180000000</v>
      </c>
      <c r="L46" s="31"/>
      <c r="M46" s="59">
        <v>7720000000</v>
      </c>
      <c r="N46" s="113" t="s">
        <v>62</v>
      </c>
      <c r="O46" s="31">
        <f t="shared" si="9"/>
        <v>77180000</v>
      </c>
      <c r="P46" s="108"/>
      <c r="Q46" s="31"/>
      <c r="R46" s="59"/>
      <c r="S46" s="113" t="s">
        <v>62</v>
      </c>
      <c r="T46" s="31">
        <f t="shared" si="8"/>
        <v>77180</v>
      </c>
      <c r="U46" s="113" t="s">
        <v>62</v>
      </c>
      <c r="V46" s="31">
        <f t="shared" si="11"/>
        <v>77.18</v>
      </c>
      <c r="W46" s="160">
        <v>5</v>
      </c>
      <c r="AB46" s="28"/>
      <c r="AC46" s="61"/>
      <c r="AE46" s="30"/>
      <c r="AJ46" s="28"/>
      <c r="AK46" s="35"/>
      <c r="AN46" s="238"/>
      <c r="AO46" s="237"/>
      <c r="AP46"/>
      <c r="AQ46"/>
      <c r="AR46"/>
    </row>
    <row r="47" spans="1:44" s="29" customFormat="1" ht="15">
      <c r="A47" s="143" t="s">
        <v>218</v>
      </c>
      <c r="B47" s="29" t="s">
        <v>168</v>
      </c>
      <c r="C47" s="33" t="s">
        <v>262</v>
      </c>
      <c r="D47" s="28" t="s">
        <v>12</v>
      </c>
      <c r="E47" s="31"/>
      <c r="F47" s="28"/>
      <c r="G47" s="29" t="str">
        <f t="shared" si="3"/>
        <v xml:space="preserve"> </v>
      </c>
      <c r="I47" s="28"/>
      <c r="J47" s="30"/>
      <c r="K47" s="108">
        <v>16340000000</v>
      </c>
      <c r="L47" s="31"/>
      <c r="M47" s="59">
        <v>2170000000</v>
      </c>
      <c r="N47" s="113" t="s">
        <v>62</v>
      </c>
      <c r="O47" s="31">
        <f t="shared" si="9"/>
        <v>16340000</v>
      </c>
      <c r="P47" s="108">
        <v>13000000</v>
      </c>
      <c r="Q47" s="31"/>
      <c r="R47" s="59"/>
      <c r="S47" s="113" t="s">
        <v>62</v>
      </c>
      <c r="T47" s="31">
        <f t="shared" si="8"/>
        <v>16340</v>
      </c>
      <c r="U47" s="113" t="s">
        <v>62</v>
      </c>
      <c r="V47" s="31">
        <f t="shared" si="11"/>
        <v>16.34</v>
      </c>
      <c r="W47" s="160">
        <v>5</v>
      </c>
      <c r="AB47" s="28"/>
      <c r="AC47" s="61"/>
      <c r="AE47" s="30"/>
      <c r="AJ47" s="28"/>
      <c r="AK47" s="35"/>
      <c r="AN47" s="238"/>
      <c r="AO47" s="237"/>
      <c r="AP47"/>
      <c r="AQ47"/>
      <c r="AR47"/>
    </row>
    <row r="48" spans="1:44" s="29" customFormat="1" ht="15">
      <c r="A48" s="143" t="s">
        <v>218</v>
      </c>
      <c r="B48" s="29" t="s">
        <v>168</v>
      </c>
      <c r="C48" s="33" t="s">
        <v>406</v>
      </c>
      <c r="D48" s="28" t="s">
        <v>12</v>
      </c>
      <c r="E48" s="31"/>
      <c r="F48" s="28"/>
      <c r="G48" s="29" t="str">
        <f t="shared" si="3"/>
        <v xml:space="preserve"> </v>
      </c>
      <c r="I48" s="28"/>
      <c r="J48" s="30"/>
      <c r="K48" s="108">
        <v>60840000000</v>
      </c>
      <c r="L48" s="31"/>
      <c r="M48" s="59">
        <v>7020000000</v>
      </c>
      <c r="N48" s="113" t="s">
        <v>62</v>
      </c>
      <c r="O48" s="31">
        <f t="shared" si="9"/>
        <v>60840000</v>
      </c>
      <c r="P48" s="108"/>
      <c r="Q48" s="31"/>
      <c r="R48" s="59"/>
      <c r="S48" s="113" t="s">
        <v>62</v>
      </c>
      <c r="T48" s="31">
        <f t="shared" si="8"/>
        <v>60840</v>
      </c>
      <c r="U48" s="113" t="s">
        <v>62</v>
      </c>
      <c r="V48" s="31">
        <f t="shared" si="11"/>
        <v>60.84</v>
      </c>
      <c r="W48" s="160">
        <v>5</v>
      </c>
      <c r="AB48" s="28"/>
      <c r="AC48" s="61"/>
      <c r="AE48" s="30"/>
      <c r="AJ48" s="28"/>
      <c r="AK48" s="35"/>
      <c r="AN48" s="238"/>
      <c r="AO48" s="237"/>
      <c r="AP48"/>
      <c r="AQ48"/>
      <c r="AR48"/>
    </row>
    <row r="49" spans="1:44" s="29" customFormat="1" ht="25.5">
      <c r="A49" s="143" t="s">
        <v>218</v>
      </c>
      <c r="B49" s="29" t="s">
        <v>168</v>
      </c>
      <c r="C49" s="33" t="s">
        <v>474</v>
      </c>
      <c r="D49" s="28"/>
      <c r="E49" s="31"/>
      <c r="F49" s="28"/>
      <c r="G49" s="29" t="str">
        <f t="shared" si="3"/>
        <v xml:space="preserve"> </v>
      </c>
      <c r="I49" s="28"/>
      <c r="J49" s="30"/>
      <c r="K49" s="108">
        <f>K48/K47</f>
        <v>3.7233782129742963</v>
      </c>
      <c r="L49" s="31"/>
      <c r="M49" s="59"/>
      <c r="N49" s="113" t="s">
        <v>62</v>
      </c>
      <c r="O49" s="31">
        <f>O48/O47</f>
        <v>3.7233782129742963</v>
      </c>
      <c r="P49" s="108"/>
      <c r="Q49" s="31"/>
      <c r="R49" s="59"/>
      <c r="S49" s="113" t="s">
        <v>62</v>
      </c>
      <c r="T49" s="31">
        <f>T48/T47</f>
        <v>3.7233782129742963</v>
      </c>
      <c r="U49" s="113" t="s">
        <v>62</v>
      </c>
      <c r="V49" s="31">
        <f>V48/V47</f>
        <v>3.7233782129742963</v>
      </c>
      <c r="W49" s="159"/>
      <c r="AB49" s="28"/>
      <c r="AC49" s="61"/>
      <c r="AE49" s="30"/>
      <c r="AJ49" s="28"/>
      <c r="AK49" s="35"/>
      <c r="AN49" s="236"/>
      <c r="AO49" s="237"/>
      <c r="AP49"/>
      <c r="AQ49"/>
      <c r="AR49"/>
    </row>
    <row r="50" spans="1:44" s="29" customFormat="1" ht="15">
      <c r="A50" s="143" t="s">
        <v>218</v>
      </c>
      <c r="B50" s="29" t="s">
        <v>168</v>
      </c>
      <c r="C50" s="33" t="s">
        <v>407</v>
      </c>
      <c r="D50" s="28" t="s">
        <v>12</v>
      </c>
      <c r="E50" s="31">
        <f>K50/K16^F50</f>
        <v>18887460.54182287</v>
      </c>
      <c r="F50" s="28">
        <v>0.911</v>
      </c>
      <c r="G50" s="29" t="str">
        <f t="shared" si="3"/>
        <v xml:space="preserve"> </v>
      </c>
      <c r="I50" s="28"/>
      <c r="J50" s="30" t="s">
        <v>450</v>
      </c>
      <c r="K50" s="108">
        <f>6180000000*2</f>
        <v>12360000000</v>
      </c>
      <c r="L50" s="31"/>
      <c r="M50" s="59">
        <f>1720000000*2</f>
        <v>3440000000</v>
      </c>
      <c r="N50" s="113">
        <f>$E$50*N20^$F$50</f>
        <v>0</v>
      </c>
      <c r="O50" s="31">
        <f t="shared" si="9"/>
        <v>12360000</v>
      </c>
      <c r="P50" s="108"/>
      <c r="Q50" s="31"/>
      <c r="R50" s="59"/>
      <c r="S50" s="113">
        <f>$E$50*S20^$F$50</f>
        <v>0.0014545034138104577</v>
      </c>
      <c r="T50" s="31">
        <f t="shared" si="8"/>
        <v>12360</v>
      </c>
      <c r="U50" s="113">
        <f>$E$50*U20^$F$50</f>
        <v>2.395927621561226E-06</v>
      </c>
      <c r="V50" s="31">
        <f t="shared" si="11"/>
        <v>12.36</v>
      </c>
      <c r="W50" s="160">
        <v>5</v>
      </c>
      <c r="AB50" s="28"/>
      <c r="AC50" s="61"/>
      <c r="AE50" s="30"/>
      <c r="AJ50" s="28"/>
      <c r="AK50" s="35"/>
      <c r="AN50" s="238"/>
      <c r="AO50" s="237"/>
      <c r="AP50"/>
      <c r="AQ50"/>
      <c r="AR50"/>
    </row>
    <row r="51" spans="1:44" s="29" customFormat="1" ht="15">
      <c r="A51" s="143" t="s">
        <v>218</v>
      </c>
      <c r="B51" s="29" t="s">
        <v>168</v>
      </c>
      <c r="C51" s="33" t="s">
        <v>408</v>
      </c>
      <c r="D51" s="28" t="s">
        <v>12</v>
      </c>
      <c r="E51" s="31"/>
      <c r="F51" s="28"/>
      <c r="G51" s="29" t="str">
        <f t="shared" si="3"/>
        <v xml:space="preserve"> </v>
      </c>
      <c r="I51" s="28"/>
      <c r="J51" s="30"/>
      <c r="K51" s="108">
        <f>8680000000*2</f>
        <v>17360000000</v>
      </c>
      <c r="L51" s="31"/>
      <c r="M51" s="59">
        <f>780000000*2</f>
        <v>1560000000</v>
      </c>
      <c r="N51" s="113" t="s">
        <v>62</v>
      </c>
      <c r="O51" s="31">
        <f t="shared" si="9"/>
        <v>17360000</v>
      </c>
      <c r="P51" s="108"/>
      <c r="Q51" s="31"/>
      <c r="R51" s="59"/>
      <c r="S51" s="113" t="s">
        <v>62</v>
      </c>
      <c r="T51" s="31">
        <f t="shared" si="8"/>
        <v>17360</v>
      </c>
      <c r="U51" s="113" t="s">
        <v>62</v>
      </c>
      <c r="V51" s="31">
        <f t="shared" si="11"/>
        <v>17.36</v>
      </c>
      <c r="W51" s="160">
        <v>5</v>
      </c>
      <c r="AB51" s="28"/>
      <c r="AC51" s="61"/>
      <c r="AE51" s="30"/>
      <c r="AJ51" s="28"/>
      <c r="AK51" s="35"/>
      <c r="AN51" s="238"/>
      <c r="AO51" s="237"/>
      <c r="AP51"/>
      <c r="AQ51"/>
      <c r="AR51"/>
    </row>
    <row r="52" spans="1:44" s="29" customFormat="1" ht="25.5">
      <c r="A52" s="143" t="s">
        <v>218</v>
      </c>
      <c r="B52" s="29" t="s">
        <v>168</v>
      </c>
      <c r="C52" s="33" t="s">
        <v>473</v>
      </c>
      <c r="D52" s="28"/>
      <c r="E52" s="31"/>
      <c r="F52" s="28"/>
      <c r="G52" s="29" t="str">
        <f t="shared" si="3"/>
        <v xml:space="preserve"> </v>
      </c>
      <c r="I52" s="28"/>
      <c r="J52" s="30"/>
      <c r="K52" s="108">
        <f>K51/K50</f>
        <v>1.4045307443365695</v>
      </c>
      <c r="L52" s="31"/>
      <c r="M52" s="59"/>
      <c r="N52" s="113" t="s">
        <v>62</v>
      </c>
      <c r="O52" s="31">
        <f>O51/O50</f>
        <v>1.4045307443365695</v>
      </c>
      <c r="P52" s="108"/>
      <c r="Q52" s="31"/>
      <c r="R52" s="59"/>
      <c r="S52" s="113" t="s">
        <v>62</v>
      </c>
      <c r="T52" s="31">
        <f>T51/T50</f>
        <v>1.4045307443365695</v>
      </c>
      <c r="U52" s="113" t="s">
        <v>62</v>
      </c>
      <c r="V52" s="31">
        <f>V51/V50</f>
        <v>1.4045307443365695</v>
      </c>
      <c r="W52" s="159"/>
      <c r="AB52" s="28"/>
      <c r="AC52" s="61"/>
      <c r="AE52" s="30"/>
      <c r="AJ52" s="28"/>
      <c r="AK52" s="35"/>
      <c r="AN52" s="236"/>
      <c r="AO52" s="237"/>
      <c r="AP52"/>
      <c r="AQ52"/>
      <c r="AR52"/>
    </row>
    <row r="53" spans="1:44" s="29" customFormat="1" ht="15">
      <c r="A53" s="143" t="s">
        <v>218</v>
      </c>
      <c r="B53" s="29" t="s">
        <v>168</v>
      </c>
      <c r="C53" s="33" t="s">
        <v>261</v>
      </c>
      <c r="D53" s="28" t="s">
        <v>12</v>
      </c>
      <c r="E53" s="31"/>
      <c r="F53" s="28"/>
      <c r="G53" s="29" t="str">
        <f t="shared" si="3"/>
        <v xml:space="preserve"> </v>
      </c>
      <c r="I53" s="28"/>
      <c r="J53" s="30"/>
      <c r="K53" s="108">
        <f>1290000000*2</f>
        <v>2580000000</v>
      </c>
      <c r="L53" s="31"/>
      <c r="M53" s="59">
        <f>540000000*2</f>
        <v>1080000000</v>
      </c>
      <c r="N53" s="113" t="s">
        <v>62</v>
      </c>
      <c r="O53" s="31">
        <f t="shared" si="9"/>
        <v>2580000</v>
      </c>
      <c r="P53" s="108"/>
      <c r="Q53" s="31"/>
      <c r="R53" s="59"/>
      <c r="S53" s="113" t="s">
        <v>62</v>
      </c>
      <c r="T53" s="31">
        <f t="shared" si="8"/>
        <v>2580</v>
      </c>
      <c r="U53" s="113" t="s">
        <v>62</v>
      </c>
      <c r="V53" s="31">
        <f t="shared" si="11"/>
        <v>2.58</v>
      </c>
      <c r="W53" s="160">
        <v>5</v>
      </c>
      <c r="AB53" s="28"/>
      <c r="AC53" s="61"/>
      <c r="AE53" s="30"/>
      <c r="AJ53" s="28"/>
      <c r="AK53" s="35"/>
      <c r="AN53" s="238"/>
      <c r="AO53" s="237"/>
      <c r="AP53"/>
      <c r="AQ53"/>
      <c r="AR53"/>
    </row>
    <row r="54" spans="1:44" s="29" customFormat="1" ht="25.5">
      <c r="A54" s="143" t="s">
        <v>218</v>
      </c>
      <c r="B54" s="29" t="s">
        <v>168</v>
      </c>
      <c r="C54" s="33" t="s">
        <v>260</v>
      </c>
      <c r="D54" s="28" t="s">
        <v>12</v>
      </c>
      <c r="E54" s="31">
        <f>K54/K50^F54</f>
        <v>0.06954162860972501</v>
      </c>
      <c r="F54" s="28">
        <v>1.165</v>
      </c>
      <c r="G54" s="29" t="str">
        <f t="shared" si="3"/>
        <v>+/-</v>
      </c>
      <c r="H54" s="29">
        <v>0.07</v>
      </c>
      <c r="I54" s="28"/>
      <c r="J54" s="30" t="s">
        <v>448</v>
      </c>
      <c r="K54" s="108">
        <f>19880000000*2</f>
        <v>39760000000</v>
      </c>
      <c r="L54" s="31"/>
      <c r="M54" s="59">
        <f>2830000000*2</f>
        <v>5660000000</v>
      </c>
      <c r="N54" s="113">
        <f>$E$54*N50^$F$54</f>
        <v>0</v>
      </c>
      <c r="O54" s="31">
        <f t="shared" si="9"/>
        <v>39760000</v>
      </c>
      <c r="P54" s="108"/>
      <c r="Q54" s="31"/>
      <c r="R54" s="59"/>
      <c r="S54" s="113">
        <f>$E$54*S50^$F$54</f>
        <v>3.44197360118633E-05</v>
      </c>
      <c r="T54" s="31">
        <f t="shared" si="8"/>
        <v>39760</v>
      </c>
      <c r="U54" s="113">
        <f>$E$54*U50^$F$54</f>
        <v>1.9693899221712044E-08</v>
      </c>
      <c r="V54" s="31">
        <f t="shared" si="11"/>
        <v>39.76</v>
      </c>
      <c r="W54" s="160">
        <v>5</v>
      </c>
      <c r="AB54" s="28"/>
      <c r="AC54" s="61"/>
      <c r="AE54" s="30"/>
      <c r="AJ54" s="28"/>
      <c r="AK54" s="35"/>
      <c r="AN54" s="238"/>
      <c r="AO54" s="237"/>
      <c r="AP54"/>
      <c r="AQ54"/>
      <c r="AR54"/>
    </row>
    <row r="55" spans="1:44" s="29" customFormat="1" ht="25.5">
      <c r="A55" s="143"/>
      <c r="C55" s="33" t="s">
        <v>472</v>
      </c>
      <c r="D55" s="28"/>
      <c r="E55" s="31"/>
      <c r="F55" s="28"/>
      <c r="G55" s="29" t="str">
        <f t="shared" si="3"/>
        <v xml:space="preserve"> </v>
      </c>
      <c r="I55" s="28"/>
      <c r="J55" s="30"/>
      <c r="K55" s="108">
        <f>K54/K53</f>
        <v>15.410852713178295</v>
      </c>
      <c r="L55" s="31"/>
      <c r="M55" s="59"/>
      <c r="N55" s="113" t="s">
        <v>62</v>
      </c>
      <c r="O55" s="31">
        <f>O54/O53</f>
        <v>15.410852713178295</v>
      </c>
      <c r="P55" s="108"/>
      <c r="Q55" s="31"/>
      <c r="R55" s="59"/>
      <c r="S55" s="113" t="s">
        <v>62</v>
      </c>
      <c r="T55" s="31">
        <f>T54/T53</f>
        <v>15.410852713178295</v>
      </c>
      <c r="U55" s="113" t="s">
        <v>62</v>
      </c>
      <c r="V55" s="31">
        <f>V54/V53</f>
        <v>15.410852713178294</v>
      </c>
      <c r="W55" s="159"/>
      <c r="AB55" s="28"/>
      <c r="AC55" s="61"/>
      <c r="AE55" s="30"/>
      <c r="AJ55" s="28"/>
      <c r="AK55" s="35"/>
      <c r="AN55" s="236"/>
      <c r="AO55" s="237"/>
      <c r="AP55"/>
      <c r="AQ55"/>
      <c r="AR55"/>
    </row>
    <row r="56" spans="1:44" s="29" customFormat="1" ht="15">
      <c r="A56" s="143" t="s">
        <v>218</v>
      </c>
      <c r="B56" s="29" t="s">
        <v>168</v>
      </c>
      <c r="C56" s="33" t="s">
        <v>259</v>
      </c>
      <c r="D56" s="28" t="s">
        <v>12</v>
      </c>
      <c r="E56" s="31"/>
      <c r="F56" s="28"/>
      <c r="G56" s="29" t="str">
        <f t="shared" si="3"/>
        <v xml:space="preserve"> </v>
      </c>
      <c r="I56" s="28"/>
      <c r="J56" s="30"/>
      <c r="K56" s="108">
        <v>8420000000</v>
      </c>
      <c r="L56" s="31"/>
      <c r="M56" s="59">
        <v>1500000000</v>
      </c>
      <c r="N56" s="113" t="s">
        <v>62</v>
      </c>
      <c r="O56" s="31">
        <f t="shared" si="9"/>
        <v>8420000</v>
      </c>
      <c r="P56" s="108"/>
      <c r="Q56" s="31"/>
      <c r="R56" s="59"/>
      <c r="S56" s="113" t="s">
        <v>62</v>
      </c>
      <c r="T56" s="31">
        <f t="shared" si="8"/>
        <v>8420</v>
      </c>
      <c r="U56" s="113" t="s">
        <v>62</v>
      </c>
      <c r="V56" s="31">
        <f t="shared" si="11"/>
        <v>8.42</v>
      </c>
      <c r="W56" s="160">
        <v>5</v>
      </c>
      <c r="AB56" s="28"/>
      <c r="AC56" s="61"/>
      <c r="AE56" s="30"/>
      <c r="AJ56" s="28"/>
      <c r="AK56" s="35"/>
      <c r="AN56" s="238"/>
      <c r="AO56" s="237"/>
      <c r="AP56"/>
      <c r="AQ56"/>
      <c r="AR56"/>
    </row>
    <row r="57" spans="1:44" s="29" customFormat="1" ht="15">
      <c r="A57" s="143" t="s">
        <v>218</v>
      </c>
      <c r="B57" s="29" t="s">
        <v>168</v>
      </c>
      <c r="C57" s="33" t="s">
        <v>258</v>
      </c>
      <c r="D57" s="28" t="s">
        <v>12</v>
      </c>
      <c r="E57" s="31"/>
      <c r="F57" s="28"/>
      <c r="G57" s="29" t="str">
        <f t="shared" si="3"/>
        <v xml:space="preserve"> </v>
      </c>
      <c r="I57" s="28"/>
      <c r="J57" s="30" t="s">
        <v>257</v>
      </c>
      <c r="K57" s="108">
        <v>690000000</v>
      </c>
      <c r="L57" s="31"/>
      <c r="M57" s="59">
        <v>120000000</v>
      </c>
      <c r="N57" s="113" t="s">
        <v>62</v>
      </c>
      <c r="O57" s="31">
        <f t="shared" si="9"/>
        <v>690000</v>
      </c>
      <c r="P57" s="108"/>
      <c r="Q57" s="31"/>
      <c r="R57" s="59"/>
      <c r="S57" s="113" t="s">
        <v>62</v>
      </c>
      <c r="T57" s="31">
        <f t="shared" si="8"/>
        <v>690</v>
      </c>
      <c r="U57" s="113" t="s">
        <v>62</v>
      </c>
      <c r="V57" s="31">
        <f t="shared" si="11"/>
        <v>0.69</v>
      </c>
      <c r="W57" s="160">
        <v>5</v>
      </c>
      <c r="AB57" s="28"/>
      <c r="AC57" s="61"/>
      <c r="AE57" s="30"/>
      <c r="AJ57" s="28"/>
      <c r="AK57" s="35"/>
      <c r="AN57" s="238"/>
      <c r="AO57" s="237"/>
      <c r="AP57"/>
      <c r="AQ57"/>
      <c r="AR57"/>
    </row>
    <row r="58" spans="1:44" s="29" customFormat="1" ht="25.5">
      <c r="A58" s="143" t="s">
        <v>218</v>
      </c>
      <c r="B58" s="29" t="s">
        <v>168</v>
      </c>
      <c r="C58" s="33" t="s">
        <v>256</v>
      </c>
      <c r="D58" s="28" t="s">
        <v>12</v>
      </c>
      <c r="E58" s="31"/>
      <c r="F58" s="28"/>
      <c r="G58" s="29" t="str">
        <f t="shared" si="3"/>
        <v xml:space="preserve"> </v>
      </c>
      <c r="I58" s="28"/>
      <c r="J58" s="30" t="s">
        <v>255</v>
      </c>
      <c r="K58" s="108">
        <v>7730000000</v>
      </c>
      <c r="L58" s="31"/>
      <c r="M58" s="59">
        <v>1450000000</v>
      </c>
      <c r="N58" s="113" t="s">
        <v>62</v>
      </c>
      <c r="O58" s="31">
        <f t="shared" si="9"/>
        <v>7730000</v>
      </c>
      <c r="P58" s="108"/>
      <c r="Q58" s="31"/>
      <c r="R58" s="59"/>
      <c r="S58" s="113" t="s">
        <v>62</v>
      </c>
      <c r="T58" s="31">
        <f t="shared" si="8"/>
        <v>7730</v>
      </c>
      <c r="U58" s="113" t="s">
        <v>62</v>
      </c>
      <c r="V58" s="31">
        <f t="shared" si="11"/>
        <v>7.73</v>
      </c>
      <c r="W58" s="160">
        <v>5</v>
      </c>
      <c r="AB58" s="28"/>
      <c r="AC58" s="61"/>
      <c r="AE58" s="30"/>
      <c r="AJ58" s="28"/>
      <c r="AK58" s="35"/>
      <c r="AN58" s="238"/>
      <c r="AO58" s="237"/>
      <c r="AP58"/>
      <c r="AQ58"/>
      <c r="AR58"/>
    </row>
    <row r="59" spans="1:44" s="29" customFormat="1" ht="15">
      <c r="A59" s="143" t="s">
        <v>218</v>
      </c>
      <c r="B59" s="29" t="s">
        <v>168</v>
      </c>
      <c r="C59" s="33" t="s">
        <v>471</v>
      </c>
      <c r="D59" s="28"/>
      <c r="E59" s="31"/>
      <c r="F59" s="28"/>
      <c r="G59" s="29" t="str">
        <f t="shared" si="3"/>
        <v xml:space="preserve"> </v>
      </c>
      <c r="I59" s="28"/>
      <c r="J59" s="30"/>
      <c r="K59" s="108">
        <f>K58/K57</f>
        <v>11.202898550724637</v>
      </c>
      <c r="L59" s="31"/>
      <c r="M59" s="59"/>
      <c r="N59" s="113" t="s">
        <v>62</v>
      </c>
      <c r="O59" s="31">
        <f>O58/O57</f>
        <v>11.202898550724637</v>
      </c>
      <c r="P59" s="108"/>
      <c r="Q59" s="31"/>
      <c r="R59" s="59"/>
      <c r="S59" s="113" t="s">
        <v>62</v>
      </c>
      <c r="T59" s="31">
        <f>T58/T57</f>
        <v>11.202898550724637</v>
      </c>
      <c r="U59" s="113" t="s">
        <v>62</v>
      </c>
      <c r="V59" s="31">
        <f>V58/V57</f>
        <v>11.202898550724639</v>
      </c>
      <c r="W59" s="159"/>
      <c r="AB59" s="28"/>
      <c r="AC59" s="61"/>
      <c r="AE59" s="30"/>
      <c r="AJ59" s="28"/>
      <c r="AK59" s="35"/>
      <c r="AN59" s="236"/>
      <c r="AO59" s="237"/>
      <c r="AP59"/>
      <c r="AQ59"/>
      <c r="AR59"/>
    </row>
    <row r="60" spans="1:44" s="29" customFormat="1" ht="15">
      <c r="A60" s="143" t="s">
        <v>218</v>
      </c>
      <c r="B60" s="29" t="s">
        <v>168</v>
      </c>
      <c r="C60" s="33" t="s">
        <v>254</v>
      </c>
      <c r="D60" s="28" t="s">
        <v>12</v>
      </c>
      <c r="E60" s="31"/>
      <c r="F60" s="28"/>
      <c r="G60" s="29" t="str">
        <f t="shared" si="3"/>
        <v xml:space="preserve"> </v>
      </c>
      <c r="I60" s="28"/>
      <c r="J60" s="30"/>
      <c r="K60" s="108">
        <v>38670000000</v>
      </c>
      <c r="L60" s="31"/>
      <c r="M60" s="59"/>
      <c r="N60" s="113" t="s">
        <v>62</v>
      </c>
      <c r="O60" s="31">
        <f t="shared" si="9"/>
        <v>38670000</v>
      </c>
      <c r="P60" s="108"/>
      <c r="Q60" s="31"/>
      <c r="R60" s="59"/>
      <c r="S60" s="113" t="s">
        <v>62</v>
      </c>
      <c r="T60" s="31">
        <f t="shared" si="8"/>
        <v>38670</v>
      </c>
      <c r="U60" s="113" t="s">
        <v>62</v>
      </c>
      <c r="V60" s="31">
        <f t="shared" si="11"/>
        <v>38.67</v>
      </c>
      <c r="W60" s="160">
        <v>13</v>
      </c>
      <c r="AB60" s="28"/>
      <c r="AC60" s="61"/>
      <c r="AE60" s="30"/>
      <c r="AJ60" s="28"/>
      <c r="AK60" s="35"/>
      <c r="AN60" s="238"/>
      <c r="AO60" s="237"/>
      <c r="AP60"/>
      <c r="AQ60"/>
      <c r="AR60"/>
    </row>
    <row r="61" spans="1:44" s="29" customFormat="1" ht="15">
      <c r="A61" s="143" t="s">
        <v>218</v>
      </c>
      <c r="B61" s="29" t="s">
        <v>168</v>
      </c>
      <c r="C61" s="33" t="s">
        <v>253</v>
      </c>
      <c r="D61" s="28" t="s">
        <v>12</v>
      </c>
      <c r="E61" s="31"/>
      <c r="F61" s="28"/>
      <c r="G61" s="29" t="str">
        <f t="shared" si="3"/>
        <v xml:space="preserve"> </v>
      </c>
      <c r="I61" s="28"/>
      <c r="J61" s="30"/>
      <c r="K61" s="108">
        <v>16670000000</v>
      </c>
      <c r="L61" s="31"/>
      <c r="M61" s="59"/>
      <c r="N61" s="113" t="s">
        <v>62</v>
      </c>
      <c r="O61" s="31">
        <f t="shared" si="9"/>
        <v>16670000</v>
      </c>
      <c r="P61" s="108"/>
      <c r="Q61" s="31"/>
      <c r="R61" s="59"/>
      <c r="S61" s="113" t="s">
        <v>62</v>
      </c>
      <c r="T61" s="31">
        <f t="shared" si="8"/>
        <v>16670</v>
      </c>
      <c r="U61" s="113" t="s">
        <v>62</v>
      </c>
      <c r="V61" s="31">
        <f t="shared" si="11"/>
        <v>16.67</v>
      </c>
      <c r="W61" s="160">
        <v>13</v>
      </c>
      <c r="AB61" s="28"/>
      <c r="AC61" s="61"/>
      <c r="AE61" s="30"/>
      <c r="AJ61" s="28"/>
      <c r="AK61" s="35"/>
      <c r="AN61" s="238"/>
      <c r="AO61" s="237"/>
      <c r="AP61"/>
      <c r="AQ61"/>
      <c r="AR61"/>
    </row>
    <row r="62" spans="1:44" s="29" customFormat="1" ht="15">
      <c r="A62" s="143" t="s">
        <v>218</v>
      </c>
      <c r="B62" s="29" t="s">
        <v>168</v>
      </c>
      <c r="C62" s="33" t="s">
        <v>252</v>
      </c>
      <c r="D62" s="28" t="s">
        <v>12</v>
      </c>
      <c r="E62" s="31"/>
      <c r="F62" s="28"/>
      <c r="G62" s="29" t="str">
        <f t="shared" si="3"/>
        <v xml:space="preserve"> </v>
      </c>
      <c r="I62" s="28"/>
      <c r="J62" s="30"/>
      <c r="K62" s="108">
        <v>19240000000</v>
      </c>
      <c r="L62" s="31"/>
      <c r="M62" s="59"/>
      <c r="N62" s="113" t="s">
        <v>62</v>
      </c>
      <c r="O62" s="31">
        <f t="shared" si="9"/>
        <v>19240000</v>
      </c>
      <c r="P62" s="108"/>
      <c r="Q62" s="31"/>
      <c r="R62" s="59"/>
      <c r="S62" s="113" t="s">
        <v>62</v>
      </c>
      <c r="T62" s="31">
        <f t="shared" si="8"/>
        <v>19240</v>
      </c>
      <c r="U62" s="113" t="s">
        <v>62</v>
      </c>
      <c r="V62" s="31">
        <f t="shared" si="11"/>
        <v>19.24</v>
      </c>
      <c r="W62" s="160">
        <v>13</v>
      </c>
      <c r="AB62" s="28"/>
      <c r="AC62" s="61"/>
      <c r="AE62" s="30"/>
      <c r="AJ62" s="28"/>
      <c r="AK62" s="35"/>
      <c r="AN62" s="238"/>
      <c r="AO62" s="237"/>
      <c r="AP62"/>
      <c r="AQ62"/>
      <c r="AR62"/>
    </row>
    <row r="63" spans="1:44" s="29" customFormat="1" ht="15">
      <c r="A63" s="143" t="s">
        <v>218</v>
      </c>
      <c r="B63" s="29" t="s">
        <v>168</v>
      </c>
      <c r="C63" s="33" t="s">
        <v>470</v>
      </c>
      <c r="D63" s="28"/>
      <c r="E63" s="31"/>
      <c r="F63" s="28"/>
      <c r="G63" s="29" t="str">
        <f t="shared" si="3"/>
        <v xml:space="preserve"> </v>
      </c>
      <c r="I63" s="28"/>
      <c r="J63" s="30"/>
      <c r="K63" s="108">
        <f>K62/K61</f>
        <v>1.1541691661667666</v>
      </c>
      <c r="L63" s="31"/>
      <c r="M63" s="59"/>
      <c r="N63" s="113" t="s">
        <v>62</v>
      </c>
      <c r="O63" s="31">
        <f>O62/O61</f>
        <v>1.1541691661667666</v>
      </c>
      <c r="P63" s="108"/>
      <c r="Q63" s="31"/>
      <c r="R63" s="59"/>
      <c r="S63" s="113" t="s">
        <v>62</v>
      </c>
      <c r="T63" s="31">
        <f>T62/T61</f>
        <v>1.1541691661667666</v>
      </c>
      <c r="U63" s="113" t="s">
        <v>62</v>
      </c>
      <c r="V63" s="31">
        <f>V62/V61</f>
        <v>1.1541691661667663</v>
      </c>
      <c r="W63" s="159"/>
      <c r="AB63" s="28"/>
      <c r="AC63" s="61"/>
      <c r="AE63" s="30"/>
      <c r="AJ63" s="28"/>
      <c r="AK63" s="35"/>
      <c r="AN63" s="236"/>
      <c r="AO63" s="237"/>
      <c r="AP63"/>
      <c r="AQ63"/>
      <c r="AR63"/>
    </row>
    <row r="64" spans="1:44" s="29" customFormat="1" ht="15">
      <c r="A64" s="143" t="s">
        <v>218</v>
      </c>
      <c r="B64" s="29" t="s">
        <v>168</v>
      </c>
      <c r="C64" s="33" t="s">
        <v>251</v>
      </c>
      <c r="D64" s="28" t="s">
        <v>12</v>
      </c>
      <c r="E64" s="31"/>
      <c r="F64" s="28"/>
      <c r="G64" s="29" t="str">
        <f t="shared" si="3"/>
        <v xml:space="preserve"> </v>
      </c>
      <c r="I64" s="28"/>
      <c r="J64" s="30"/>
      <c r="K64" s="108">
        <v>7730000000</v>
      </c>
      <c r="L64" s="31"/>
      <c r="M64" s="59"/>
      <c r="N64" s="113" t="s">
        <v>62</v>
      </c>
      <c r="O64" s="31">
        <f t="shared" si="9"/>
        <v>7730000</v>
      </c>
      <c r="P64" s="108"/>
      <c r="Q64" s="31"/>
      <c r="R64" s="59"/>
      <c r="S64" s="113" t="s">
        <v>62</v>
      </c>
      <c r="T64" s="31">
        <f t="shared" si="8"/>
        <v>7730</v>
      </c>
      <c r="U64" s="113" t="s">
        <v>62</v>
      </c>
      <c r="V64" s="31">
        <f t="shared" si="11"/>
        <v>7.73</v>
      </c>
      <c r="W64" s="160">
        <v>13</v>
      </c>
      <c r="AB64" s="28"/>
      <c r="AC64" s="61"/>
      <c r="AE64" s="30"/>
      <c r="AJ64" s="28"/>
      <c r="AK64" s="35"/>
      <c r="AN64" s="238"/>
      <c r="AO64" s="237"/>
      <c r="AP64"/>
      <c r="AQ64"/>
      <c r="AR64"/>
    </row>
    <row r="65" spans="1:44" s="29" customFormat="1" ht="15">
      <c r="A65" s="143" t="s">
        <v>218</v>
      </c>
      <c r="B65" s="29" t="s">
        <v>168</v>
      </c>
      <c r="C65" s="33" t="s">
        <v>250</v>
      </c>
      <c r="D65" s="28" t="s">
        <v>12</v>
      </c>
      <c r="E65" s="31"/>
      <c r="F65" s="28"/>
      <c r="G65" s="29" t="str">
        <f t="shared" si="3"/>
        <v xml:space="preserve"> </v>
      </c>
      <c r="I65" s="28"/>
      <c r="J65" s="30"/>
      <c r="K65" s="108">
        <v>3480000000</v>
      </c>
      <c r="L65" s="31"/>
      <c r="M65" s="59"/>
      <c r="N65" s="113" t="s">
        <v>62</v>
      </c>
      <c r="O65" s="31">
        <f t="shared" si="9"/>
        <v>3480000</v>
      </c>
      <c r="P65" s="108"/>
      <c r="Q65" s="31"/>
      <c r="R65" s="59"/>
      <c r="S65" s="113" t="s">
        <v>62</v>
      </c>
      <c r="T65" s="31">
        <f t="shared" si="8"/>
        <v>3480</v>
      </c>
      <c r="U65" s="113" t="s">
        <v>62</v>
      </c>
      <c r="V65" s="31">
        <f t="shared" si="11"/>
        <v>3.48</v>
      </c>
      <c r="W65" s="160">
        <v>13</v>
      </c>
      <c r="AB65" s="28"/>
      <c r="AC65" s="61"/>
      <c r="AE65" s="30"/>
      <c r="AJ65" s="28"/>
      <c r="AK65" s="35"/>
      <c r="AN65" s="238"/>
      <c r="AO65" s="237"/>
      <c r="AP65"/>
      <c r="AQ65"/>
      <c r="AR65"/>
    </row>
    <row r="66" spans="1:44" s="29" customFormat="1" ht="15">
      <c r="A66" s="143" t="s">
        <v>218</v>
      </c>
      <c r="B66" s="29" t="s">
        <v>145</v>
      </c>
      <c r="C66" s="33" t="s">
        <v>249</v>
      </c>
      <c r="D66" s="28" t="s">
        <v>66</v>
      </c>
      <c r="E66" s="28"/>
      <c r="F66" s="28"/>
      <c r="G66" s="29" t="str">
        <f t="shared" si="3"/>
        <v xml:space="preserve"> </v>
      </c>
      <c r="I66" s="28"/>
      <c r="J66" s="30" t="s">
        <v>463</v>
      </c>
      <c r="K66" s="108">
        <v>10</v>
      </c>
      <c r="L66" s="31"/>
      <c r="M66" s="30"/>
      <c r="N66" s="113"/>
      <c r="O66" s="31"/>
      <c r="P66" s="108"/>
      <c r="Q66" s="31"/>
      <c r="R66" s="59"/>
      <c r="S66" s="113"/>
      <c r="T66" s="31"/>
      <c r="U66" s="113"/>
      <c r="V66" s="31"/>
      <c r="W66" s="160">
        <v>9</v>
      </c>
      <c r="AB66" s="28"/>
      <c r="AC66" s="30"/>
      <c r="AE66" s="30"/>
      <c r="AJ66" s="28"/>
      <c r="AK66" s="35"/>
      <c r="AN66" s="238"/>
      <c r="AO66" s="237"/>
      <c r="AP66"/>
      <c r="AQ66"/>
      <c r="AR66"/>
    </row>
    <row r="67" spans="1:44" s="29" customFormat="1" ht="15">
      <c r="A67" s="143" t="s">
        <v>218</v>
      </c>
      <c r="B67" s="29" t="s">
        <v>145</v>
      </c>
      <c r="C67" s="33" t="s">
        <v>247</v>
      </c>
      <c r="D67" s="28" t="s">
        <v>248</v>
      </c>
      <c r="E67" s="28"/>
      <c r="F67" s="28"/>
      <c r="G67" s="29" t="str">
        <f t="shared" si="3"/>
        <v xml:space="preserve"> </v>
      </c>
      <c r="I67" s="28"/>
      <c r="J67" s="30" t="s">
        <v>451</v>
      </c>
      <c r="K67" s="108">
        <v>0.7</v>
      </c>
      <c r="L67" s="31"/>
      <c r="M67" s="30"/>
      <c r="N67" s="113" t="s">
        <v>62</v>
      </c>
      <c r="O67" s="31">
        <f>K67/1000</f>
        <v>0.0007</v>
      </c>
      <c r="P67" s="108"/>
      <c r="Q67" s="31"/>
      <c r="R67" s="59"/>
      <c r="S67" s="113" t="s">
        <v>62</v>
      </c>
      <c r="T67" s="31">
        <f>O67/1000</f>
        <v>7E-07</v>
      </c>
      <c r="U67" s="113" t="s">
        <v>62</v>
      </c>
      <c r="V67" s="31">
        <f>T67/1000</f>
        <v>7E-10</v>
      </c>
      <c r="W67" s="160">
        <v>14</v>
      </c>
      <c r="AB67" s="28"/>
      <c r="AC67" s="30"/>
      <c r="AE67" s="30"/>
      <c r="AJ67" s="28"/>
      <c r="AK67" s="35"/>
      <c r="AN67" s="238"/>
      <c r="AO67" s="237"/>
      <c r="AP67"/>
      <c r="AQ67"/>
      <c r="AR67"/>
    </row>
    <row r="68" spans="1:44" s="29" customFormat="1" ht="25.5">
      <c r="A68" s="143" t="s">
        <v>218</v>
      </c>
      <c r="B68" s="29" t="s">
        <v>145</v>
      </c>
      <c r="C68" s="33" t="s">
        <v>247</v>
      </c>
      <c r="D68" s="28" t="s">
        <v>219</v>
      </c>
      <c r="E68" s="28"/>
      <c r="F68" s="28"/>
      <c r="G68" s="29" t="str">
        <f t="shared" si="3"/>
        <v xml:space="preserve"> </v>
      </c>
      <c r="I68" s="28"/>
      <c r="J68" s="30" t="s">
        <v>452</v>
      </c>
      <c r="K68" s="108">
        <v>52.7</v>
      </c>
      <c r="L68" s="31"/>
      <c r="M68" s="30"/>
      <c r="N68" s="113" t="s">
        <v>62</v>
      </c>
      <c r="O68" s="31">
        <f>K68</f>
        <v>52.7</v>
      </c>
      <c r="P68" s="108"/>
      <c r="Q68" s="31"/>
      <c r="R68" s="59"/>
      <c r="S68" s="113" t="s">
        <v>62</v>
      </c>
      <c r="T68" s="31">
        <f>O68</f>
        <v>52.7</v>
      </c>
      <c r="U68" s="113" t="s">
        <v>62</v>
      </c>
      <c r="V68" s="31">
        <f>T68</f>
        <v>52.7</v>
      </c>
      <c r="W68" s="160">
        <v>15</v>
      </c>
      <c r="AB68" s="28"/>
      <c r="AC68" s="30"/>
      <c r="AE68" s="30"/>
      <c r="AJ68" s="28"/>
      <c r="AK68" s="35"/>
      <c r="AN68" s="238"/>
      <c r="AO68" s="237"/>
      <c r="AP68"/>
      <c r="AQ68"/>
      <c r="AR68"/>
    </row>
    <row r="69" spans="1:44" s="29" customFormat="1" ht="15">
      <c r="A69" s="143" t="s">
        <v>218</v>
      </c>
      <c r="B69" s="29" t="s">
        <v>145</v>
      </c>
      <c r="C69" s="33" t="s">
        <v>409</v>
      </c>
      <c r="D69" s="28"/>
      <c r="E69" s="28"/>
      <c r="F69" s="28"/>
      <c r="G69" s="29" t="str">
        <f t="shared" si="3"/>
        <v xml:space="preserve"> </v>
      </c>
      <c r="I69" s="28"/>
      <c r="J69" s="30" t="s">
        <v>217</v>
      </c>
      <c r="K69" s="108">
        <v>-0.118</v>
      </c>
      <c r="L69" s="31"/>
      <c r="M69" s="30">
        <v>0.043</v>
      </c>
      <c r="N69" s="113" t="s">
        <v>62</v>
      </c>
      <c r="O69" s="31" t="s">
        <v>62</v>
      </c>
      <c r="P69" s="108"/>
      <c r="Q69" s="31"/>
      <c r="R69" s="59"/>
      <c r="S69" s="113" t="s">
        <v>62</v>
      </c>
      <c r="T69" s="31" t="s">
        <v>62</v>
      </c>
      <c r="U69" s="113" t="s">
        <v>62</v>
      </c>
      <c r="V69" s="31" t="s">
        <v>62</v>
      </c>
      <c r="W69" s="160">
        <v>16</v>
      </c>
      <c r="AB69" s="28"/>
      <c r="AC69" s="30"/>
      <c r="AE69" s="30"/>
      <c r="AJ69" s="28"/>
      <c r="AK69" s="35"/>
      <c r="AN69" s="238"/>
      <c r="AO69" s="237"/>
      <c r="AP69"/>
      <c r="AQ69"/>
      <c r="AR69"/>
    </row>
    <row r="70" spans="1:44" s="29" customFormat="1" ht="38.25">
      <c r="A70" s="143" t="s">
        <v>218</v>
      </c>
      <c r="B70" s="29" t="s">
        <v>145</v>
      </c>
      <c r="C70" s="33" t="s">
        <v>215</v>
      </c>
      <c r="D70" s="28" t="s">
        <v>246</v>
      </c>
      <c r="E70" s="28">
        <v>57.13</v>
      </c>
      <c r="F70" s="28">
        <v>-1.5779</v>
      </c>
      <c r="G70" s="29" t="str">
        <f t="shared" si="3"/>
        <v xml:space="preserve"> </v>
      </c>
      <c r="I70" s="28"/>
      <c r="J70" s="30" t="s">
        <v>453</v>
      </c>
      <c r="K70" s="108">
        <v>1.54</v>
      </c>
      <c r="L70" s="31"/>
      <c r="M70" s="30"/>
      <c r="N70" s="113"/>
      <c r="O70" s="31">
        <f>K70</f>
        <v>1.54</v>
      </c>
      <c r="P70" s="108"/>
      <c r="Q70" s="31"/>
      <c r="R70" s="59"/>
      <c r="S70" s="113" t="s">
        <v>62</v>
      </c>
      <c r="T70" s="31">
        <f>O70</f>
        <v>1.54</v>
      </c>
      <c r="U70" s="113" t="s">
        <v>62</v>
      </c>
      <c r="V70" s="31">
        <f>T70</f>
        <v>1.54</v>
      </c>
      <c r="W70" s="160" t="s">
        <v>302</v>
      </c>
      <c r="AB70" s="28"/>
      <c r="AC70" s="30"/>
      <c r="AE70" s="30"/>
      <c r="AJ70" s="28"/>
      <c r="AK70" s="35"/>
      <c r="AN70" s="238"/>
      <c r="AO70" s="237"/>
      <c r="AP70"/>
      <c r="AQ70"/>
      <c r="AR70"/>
    </row>
    <row r="71" spans="1:44" ht="15">
      <c r="A71" s="143" t="s">
        <v>218</v>
      </c>
      <c r="B71" s="29" t="s">
        <v>145</v>
      </c>
      <c r="C71" s="33" t="s">
        <v>245</v>
      </c>
      <c r="D71" s="28" t="s">
        <v>238</v>
      </c>
      <c r="E71" s="28"/>
      <c r="F71" s="28"/>
      <c r="G71" s="29" t="str">
        <f t="shared" si="3"/>
        <v xml:space="preserve"> </v>
      </c>
      <c r="H71" s="29"/>
      <c r="I71" s="28"/>
      <c r="J71" s="30"/>
      <c r="K71" s="108">
        <v>82</v>
      </c>
      <c r="L71" s="31"/>
      <c r="M71" s="30"/>
      <c r="N71" s="113" t="s">
        <v>62</v>
      </c>
      <c r="O71" s="31">
        <f>K71</f>
        <v>82</v>
      </c>
      <c r="P71" s="108"/>
      <c r="Q71" s="31"/>
      <c r="R71" s="59"/>
      <c r="S71" s="113" t="s">
        <v>62</v>
      </c>
      <c r="T71" s="31">
        <f>O71</f>
        <v>82</v>
      </c>
      <c r="U71" s="113" t="s">
        <v>62</v>
      </c>
      <c r="V71" s="31">
        <f>T71</f>
        <v>82</v>
      </c>
      <c r="W71" s="160">
        <v>15</v>
      </c>
      <c r="AN71" s="238"/>
      <c r="AO71" s="237"/>
      <c r="AP71"/>
      <c r="AQ71"/>
      <c r="AR71"/>
    </row>
    <row r="72" spans="1:44" ht="15">
      <c r="A72" s="143" t="s">
        <v>218</v>
      </c>
      <c r="B72" s="29" t="s">
        <v>145</v>
      </c>
      <c r="C72" s="33" t="s">
        <v>244</v>
      </c>
      <c r="D72" s="28" t="s">
        <v>243</v>
      </c>
      <c r="E72" s="28"/>
      <c r="F72" s="28"/>
      <c r="G72" s="29" t="str">
        <f t="shared" si="3"/>
        <v xml:space="preserve"> </v>
      </c>
      <c r="H72" s="29"/>
      <c r="I72" s="28"/>
      <c r="J72" s="30"/>
      <c r="K72" s="108">
        <v>1.56</v>
      </c>
      <c r="L72" s="31"/>
      <c r="M72" s="30"/>
      <c r="N72" s="113" t="s">
        <v>62</v>
      </c>
      <c r="O72" s="31">
        <f>K72</f>
        <v>1.56</v>
      </c>
      <c r="P72" s="108"/>
      <c r="Q72" s="31"/>
      <c r="R72" s="59"/>
      <c r="S72" s="113" t="s">
        <v>62</v>
      </c>
      <c r="T72" s="31">
        <f>O72</f>
        <v>1.56</v>
      </c>
      <c r="U72" s="113" t="s">
        <v>62</v>
      </c>
      <c r="V72" s="31">
        <f>T72</f>
        <v>1.56</v>
      </c>
      <c r="W72" s="160">
        <v>15</v>
      </c>
      <c r="AN72" s="238"/>
      <c r="AO72" s="237"/>
      <c r="AP72"/>
      <c r="AQ72"/>
      <c r="AR72"/>
    </row>
    <row r="73" spans="1:44" ht="15">
      <c r="A73" s="143" t="s">
        <v>218</v>
      </c>
      <c r="B73" s="29" t="s">
        <v>145</v>
      </c>
      <c r="C73" s="33" t="s">
        <v>242</v>
      </c>
      <c r="D73" s="28" t="s">
        <v>240</v>
      </c>
      <c r="E73" s="28"/>
      <c r="F73" s="28"/>
      <c r="G73" s="29" t="str">
        <f t="shared" si="3"/>
        <v xml:space="preserve"> </v>
      </c>
      <c r="H73" s="29"/>
      <c r="I73" s="28"/>
      <c r="J73" s="30"/>
      <c r="K73" s="108">
        <v>6.1</v>
      </c>
      <c r="L73" s="31"/>
      <c r="M73" s="30"/>
      <c r="N73" s="113" t="s">
        <v>62</v>
      </c>
      <c r="O73" s="31">
        <f>K73</f>
        <v>6.1</v>
      </c>
      <c r="P73" s="108"/>
      <c r="Q73" s="31"/>
      <c r="R73" s="59"/>
      <c r="S73" s="113" t="s">
        <v>62</v>
      </c>
      <c r="T73" s="31">
        <f>O73</f>
        <v>6.1</v>
      </c>
      <c r="U73" s="113" t="s">
        <v>62</v>
      </c>
      <c r="V73" s="31">
        <f>T73</f>
        <v>6.1</v>
      </c>
      <c r="W73" s="160">
        <v>15</v>
      </c>
      <c r="AN73" s="238"/>
      <c r="AO73" s="237"/>
      <c r="AP73"/>
      <c r="AQ73"/>
      <c r="AR73"/>
    </row>
    <row r="74" spans="1:44" ht="25.5">
      <c r="A74" s="143" t="s">
        <v>218</v>
      </c>
      <c r="B74" s="29" t="s">
        <v>145</v>
      </c>
      <c r="C74" s="33" t="s">
        <v>410</v>
      </c>
      <c r="D74" s="28"/>
      <c r="E74" s="28"/>
      <c r="F74" s="28"/>
      <c r="G74" s="29" t="str">
        <f t="shared" si="3"/>
        <v xml:space="preserve"> </v>
      </c>
      <c r="H74" s="29"/>
      <c r="I74" s="28"/>
      <c r="J74" s="30" t="s">
        <v>464</v>
      </c>
      <c r="K74" s="108">
        <v>0.001</v>
      </c>
      <c r="L74" s="31"/>
      <c r="M74" s="30"/>
      <c r="N74" s="113" t="s">
        <v>62</v>
      </c>
      <c r="O74" s="31" t="s">
        <v>62</v>
      </c>
      <c r="P74" s="108"/>
      <c r="Q74" s="31"/>
      <c r="R74" s="59"/>
      <c r="S74" s="113" t="s">
        <v>62</v>
      </c>
      <c r="T74" s="31" t="s">
        <v>62</v>
      </c>
      <c r="U74" s="113" t="s">
        <v>62</v>
      </c>
      <c r="V74" s="31" t="s">
        <v>62</v>
      </c>
      <c r="W74" s="159"/>
      <c r="AN74" s="236"/>
      <c r="AO74" s="237"/>
      <c r="AP74"/>
      <c r="AQ74"/>
      <c r="AR74"/>
    </row>
    <row r="75" spans="1:44" ht="15">
      <c r="A75" s="143" t="s">
        <v>218</v>
      </c>
      <c r="B75" s="29" t="s">
        <v>145</v>
      </c>
      <c r="C75" s="33" t="s">
        <v>241</v>
      </c>
      <c r="D75" s="28" t="s">
        <v>240</v>
      </c>
      <c r="E75" s="28"/>
      <c r="F75" s="28"/>
      <c r="G75" s="29" t="str">
        <f aca="true" t="shared" si="12" ref="G75:G138">IF(H75=""," ","+/-")</f>
        <v xml:space="preserve"> </v>
      </c>
      <c r="H75" s="29"/>
      <c r="I75" s="28"/>
      <c r="J75" s="30"/>
      <c r="K75" s="108">
        <v>47.52</v>
      </c>
      <c r="L75" s="31"/>
      <c r="M75" s="30"/>
      <c r="N75" s="113" t="s">
        <v>62</v>
      </c>
      <c r="O75" s="31">
        <f>K75</f>
        <v>47.52</v>
      </c>
      <c r="P75" s="108"/>
      <c r="Q75" s="31"/>
      <c r="R75" s="59"/>
      <c r="S75" s="113" t="s">
        <v>62</v>
      </c>
      <c r="T75" s="31">
        <f>O75</f>
        <v>47.52</v>
      </c>
      <c r="U75" s="113" t="s">
        <v>62</v>
      </c>
      <c r="V75" s="31">
        <f>T75</f>
        <v>47.52</v>
      </c>
      <c r="W75" s="160">
        <v>15</v>
      </c>
      <c r="AN75" s="238"/>
      <c r="AO75" s="237"/>
      <c r="AP75"/>
      <c r="AQ75"/>
      <c r="AR75"/>
    </row>
    <row r="76" spans="1:44" ht="15">
      <c r="A76" s="143" t="s">
        <v>218</v>
      </c>
      <c r="B76" s="29" t="s">
        <v>145</v>
      </c>
      <c r="C76" s="33" t="s">
        <v>239</v>
      </c>
      <c r="D76" s="28" t="s">
        <v>238</v>
      </c>
      <c r="E76" s="28"/>
      <c r="F76" s="28"/>
      <c r="G76" s="29" t="str">
        <f t="shared" si="12"/>
        <v xml:space="preserve"> </v>
      </c>
      <c r="H76" s="29"/>
      <c r="I76" s="28"/>
      <c r="J76" s="30"/>
      <c r="K76" s="108">
        <v>37.1</v>
      </c>
      <c r="L76" s="31"/>
      <c r="M76" s="30"/>
      <c r="N76" s="113" t="s">
        <v>62</v>
      </c>
      <c r="O76" s="31">
        <f>K76</f>
        <v>37.1</v>
      </c>
      <c r="P76" s="108"/>
      <c r="Q76" s="31"/>
      <c r="R76" s="59"/>
      <c r="S76" s="113" t="s">
        <v>62</v>
      </c>
      <c r="T76" s="31">
        <f>O76</f>
        <v>37.1</v>
      </c>
      <c r="U76" s="113" t="s">
        <v>62</v>
      </c>
      <c r="V76" s="31">
        <f>T76</f>
        <v>37.1</v>
      </c>
      <c r="W76" s="160">
        <v>19</v>
      </c>
      <c r="AN76" s="238"/>
      <c r="AO76" s="237"/>
      <c r="AP76"/>
      <c r="AQ76"/>
      <c r="AR76"/>
    </row>
    <row r="77" spans="1:44" ht="63.75">
      <c r="A77" s="143" t="s">
        <v>218</v>
      </c>
      <c r="B77" s="29" t="s">
        <v>145</v>
      </c>
      <c r="C77" s="33" t="s">
        <v>237</v>
      </c>
      <c r="D77" s="28" t="s">
        <v>236</v>
      </c>
      <c r="E77" s="28"/>
      <c r="F77" s="28">
        <v>0.242</v>
      </c>
      <c r="G77" s="29" t="str">
        <f t="shared" si="12"/>
        <v>+/-</v>
      </c>
      <c r="H77" s="29">
        <v>0.085</v>
      </c>
      <c r="I77" s="28"/>
      <c r="J77" s="30" t="s">
        <v>454</v>
      </c>
      <c r="K77" s="108" t="s">
        <v>228</v>
      </c>
      <c r="L77" s="31"/>
      <c r="M77" s="30"/>
      <c r="N77" s="113" t="s">
        <v>62</v>
      </c>
      <c r="O77" s="31" t="s">
        <v>228</v>
      </c>
      <c r="P77" s="108"/>
      <c r="Q77" s="31"/>
      <c r="R77" s="59"/>
      <c r="S77" s="113" t="s">
        <v>62</v>
      </c>
      <c r="T77" s="31" t="s">
        <v>228</v>
      </c>
      <c r="U77" s="113" t="s">
        <v>62</v>
      </c>
      <c r="V77" s="31" t="s">
        <v>228</v>
      </c>
      <c r="W77" s="160">
        <v>3</v>
      </c>
      <c r="AN77" s="238"/>
      <c r="AO77" s="237"/>
      <c r="AP77"/>
      <c r="AQ77"/>
      <c r="AR77"/>
    </row>
    <row r="78" spans="1:44" ht="25.5">
      <c r="A78" s="143" t="s">
        <v>218</v>
      </c>
      <c r="B78" s="29" t="s">
        <v>145</v>
      </c>
      <c r="C78" s="33" t="s">
        <v>235</v>
      </c>
      <c r="D78" s="28"/>
      <c r="E78" s="28"/>
      <c r="F78" s="28">
        <v>0.165</v>
      </c>
      <c r="G78" s="29" t="str">
        <f t="shared" si="12"/>
        <v xml:space="preserve"> </v>
      </c>
      <c r="H78" s="29"/>
      <c r="I78" s="28"/>
      <c r="J78" s="30" t="s">
        <v>448</v>
      </c>
      <c r="K78" s="108" t="s">
        <v>228</v>
      </c>
      <c r="L78" s="31"/>
      <c r="M78" s="30"/>
      <c r="N78" s="113" t="s">
        <v>62</v>
      </c>
      <c r="O78" s="31" t="s">
        <v>228</v>
      </c>
      <c r="P78" s="108"/>
      <c r="Q78" s="31"/>
      <c r="R78" s="59"/>
      <c r="S78" s="113" t="s">
        <v>62</v>
      </c>
      <c r="T78" s="31" t="s">
        <v>228</v>
      </c>
      <c r="U78" s="113" t="s">
        <v>62</v>
      </c>
      <c r="V78" s="31" t="s">
        <v>228</v>
      </c>
      <c r="W78" s="160">
        <v>3</v>
      </c>
      <c r="AN78" s="238"/>
      <c r="AO78" s="237"/>
      <c r="AP78"/>
      <c r="AQ78"/>
      <c r="AR78"/>
    </row>
    <row r="79" spans="1:44" ht="25.5">
      <c r="A79" s="143" t="s">
        <v>218</v>
      </c>
      <c r="B79" s="29" t="s">
        <v>145</v>
      </c>
      <c r="C79" s="33" t="s">
        <v>234</v>
      </c>
      <c r="D79" s="28"/>
      <c r="E79" s="28"/>
      <c r="F79" s="28">
        <v>0.466</v>
      </c>
      <c r="G79" s="29" t="str">
        <f t="shared" si="12"/>
        <v xml:space="preserve"> </v>
      </c>
      <c r="H79" s="29"/>
      <c r="I79" s="28"/>
      <c r="J79" s="30" t="s">
        <v>448</v>
      </c>
      <c r="K79" s="108" t="s">
        <v>228</v>
      </c>
      <c r="L79" s="31"/>
      <c r="M79" s="30"/>
      <c r="N79" s="113" t="s">
        <v>62</v>
      </c>
      <c r="O79" s="31" t="s">
        <v>228</v>
      </c>
      <c r="P79" s="108"/>
      <c r="Q79" s="31"/>
      <c r="R79" s="59"/>
      <c r="S79" s="113" t="s">
        <v>62</v>
      </c>
      <c r="T79" s="31" t="s">
        <v>228</v>
      </c>
      <c r="U79" s="113" t="s">
        <v>62</v>
      </c>
      <c r="V79" s="31" t="s">
        <v>228</v>
      </c>
      <c r="W79" s="160">
        <v>20</v>
      </c>
      <c r="AN79" s="238"/>
      <c r="AO79" s="237"/>
      <c r="AP79"/>
      <c r="AQ79"/>
      <c r="AR79"/>
    </row>
    <row r="80" spans="1:44" ht="25.5">
      <c r="A80" s="143" t="s">
        <v>218</v>
      </c>
      <c r="B80" s="29" t="s">
        <v>145</v>
      </c>
      <c r="C80" s="33" t="s">
        <v>233</v>
      </c>
      <c r="D80" s="28"/>
      <c r="E80" s="28"/>
      <c r="F80" s="28">
        <v>0.623</v>
      </c>
      <c r="G80" s="29" t="str">
        <f t="shared" si="12"/>
        <v xml:space="preserve"> </v>
      </c>
      <c r="H80" s="29"/>
      <c r="I80" s="28"/>
      <c r="J80" s="30" t="s">
        <v>448</v>
      </c>
      <c r="K80" s="108" t="s">
        <v>228</v>
      </c>
      <c r="L80" s="31"/>
      <c r="M80" s="30"/>
      <c r="N80" s="113" t="s">
        <v>62</v>
      </c>
      <c r="O80" s="31" t="s">
        <v>228</v>
      </c>
      <c r="P80" s="108"/>
      <c r="Q80" s="31"/>
      <c r="R80" s="59"/>
      <c r="S80" s="113" t="s">
        <v>62</v>
      </c>
      <c r="T80" s="31" t="s">
        <v>228</v>
      </c>
      <c r="U80" s="113" t="s">
        <v>62</v>
      </c>
      <c r="V80" s="31" t="s">
        <v>228</v>
      </c>
      <c r="W80" s="160">
        <v>20</v>
      </c>
      <c r="AN80" s="238"/>
      <c r="AO80" s="237"/>
      <c r="AP80"/>
      <c r="AQ80"/>
      <c r="AR80"/>
    </row>
    <row r="81" spans="1:44" ht="25.5">
      <c r="A81" s="143" t="s">
        <v>218</v>
      </c>
      <c r="B81" s="29" t="s">
        <v>145</v>
      </c>
      <c r="C81" s="33" t="s">
        <v>411</v>
      </c>
      <c r="D81" s="28"/>
      <c r="E81" s="28"/>
      <c r="F81" s="28">
        <v>0.446</v>
      </c>
      <c r="G81" s="29" t="str">
        <f t="shared" si="12"/>
        <v xml:space="preserve"> </v>
      </c>
      <c r="H81" s="29"/>
      <c r="I81" s="28"/>
      <c r="J81" s="30" t="s">
        <v>448</v>
      </c>
      <c r="K81" s="108" t="s">
        <v>228</v>
      </c>
      <c r="L81" s="31"/>
      <c r="M81" s="30"/>
      <c r="N81" s="113" t="s">
        <v>62</v>
      </c>
      <c r="O81" s="31" t="s">
        <v>228</v>
      </c>
      <c r="P81" s="108"/>
      <c r="Q81" s="31"/>
      <c r="R81" s="59"/>
      <c r="S81" s="113" t="s">
        <v>62</v>
      </c>
      <c r="T81" s="31" t="s">
        <v>228</v>
      </c>
      <c r="U81" s="113" t="s">
        <v>62</v>
      </c>
      <c r="V81" s="31" t="s">
        <v>228</v>
      </c>
      <c r="W81" s="160">
        <v>20</v>
      </c>
      <c r="AN81" s="238"/>
      <c r="AO81" s="237"/>
      <c r="AP81"/>
      <c r="AQ81"/>
      <c r="AR81"/>
    </row>
    <row r="82" spans="1:44" ht="25.5">
      <c r="A82" s="143" t="s">
        <v>218</v>
      </c>
      <c r="B82" s="29" t="s">
        <v>168</v>
      </c>
      <c r="C82" s="33" t="s">
        <v>469</v>
      </c>
      <c r="D82" s="28"/>
      <c r="E82" s="28"/>
      <c r="F82" s="28">
        <v>1</v>
      </c>
      <c r="G82" s="29" t="str">
        <f t="shared" si="12"/>
        <v xml:space="preserve"> </v>
      </c>
      <c r="H82" s="29"/>
      <c r="I82" s="28"/>
      <c r="J82" s="30" t="s">
        <v>455</v>
      </c>
      <c r="K82" s="108" t="s">
        <v>228</v>
      </c>
      <c r="L82" s="31"/>
      <c r="M82" s="30"/>
      <c r="N82" s="113" t="s">
        <v>62</v>
      </c>
      <c r="O82" s="31" t="s">
        <v>228</v>
      </c>
      <c r="P82" s="108"/>
      <c r="Q82" s="31"/>
      <c r="R82" s="59"/>
      <c r="S82" s="113" t="s">
        <v>62</v>
      </c>
      <c r="T82" s="31" t="s">
        <v>228</v>
      </c>
      <c r="U82" s="113" t="s">
        <v>62</v>
      </c>
      <c r="V82" s="31" t="s">
        <v>228</v>
      </c>
      <c r="W82" s="160">
        <v>21</v>
      </c>
      <c r="AN82" s="238"/>
      <c r="AO82" s="237"/>
      <c r="AP82"/>
      <c r="AQ82"/>
      <c r="AR82"/>
    </row>
    <row r="83" spans="1:44" ht="25.5">
      <c r="A83" s="143" t="s">
        <v>218</v>
      </c>
      <c r="B83" s="29" t="s">
        <v>168</v>
      </c>
      <c r="C83" s="33" t="s">
        <v>232</v>
      </c>
      <c r="D83" s="28" t="s">
        <v>231</v>
      </c>
      <c r="E83" s="28"/>
      <c r="F83" s="28">
        <v>-0.123</v>
      </c>
      <c r="G83" s="29" t="str">
        <f t="shared" si="12"/>
        <v xml:space="preserve"> </v>
      </c>
      <c r="H83" s="29"/>
      <c r="I83" s="28"/>
      <c r="J83" s="30" t="s">
        <v>456</v>
      </c>
      <c r="K83" s="108" t="s">
        <v>228</v>
      </c>
      <c r="L83" s="31"/>
      <c r="M83" s="30"/>
      <c r="N83" s="113" t="s">
        <v>62</v>
      </c>
      <c r="O83" s="31" t="s">
        <v>228</v>
      </c>
      <c r="P83" s="108"/>
      <c r="Q83" s="31"/>
      <c r="R83" s="59"/>
      <c r="S83" s="113" t="s">
        <v>62</v>
      </c>
      <c r="T83" s="31" t="s">
        <v>228</v>
      </c>
      <c r="U83" s="113" t="s">
        <v>62</v>
      </c>
      <c r="V83" s="31" t="s">
        <v>228</v>
      </c>
      <c r="W83" s="160">
        <v>21</v>
      </c>
      <c r="AN83" s="238"/>
      <c r="AO83" s="237"/>
      <c r="AP83"/>
      <c r="AQ83"/>
      <c r="AR83"/>
    </row>
    <row r="84" spans="1:44" ht="15">
      <c r="A84" s="143" t="s">
        <v>218</v>
      </c>
      <c r="B84" s="29" t="s">
        <v>168</v>
      </c>
      <c r="C84" s="33" t="s">
        <v>230</v>
      </c>
      <c r="D84" s="28"/>
      <c r="E84" s="28"/>
      <c r="F84" s="28">
        <v>-0.367</v>
      </c>
      <c r="G84" s="29" t="str">
        <f t="shared" si="12"/>
        <v xml:space="preserve"> </v>
      </c>
      <c r="H84" s="29"/>
      <c r="I84" s="28"/>
      <c r="J84" s="30" t="s">
        <v>457</v>
      </c>
      <c r="K84" s="108" t="s">
        <v>228</v>
      </c>
      <c r="L84" s="31"/>
      <c r="M84" s="30"/>
      <c r="N84" s="113" t="s">
        <v>62</v>
      </c>
      <c r="O84" s="31" t="s">
        <v>228</v>
      </c>
      <c r="P84" s="108"/>
      <c r="Q84" s="31"/>
      <c r="R84" s="59"/>
      <c r="S84" s="113" t="s">
        <v>62</v>
      </c>
      <c r="T84" s="31" t="s">
        <v>228</v>
      </c>
      <c r="U84" s="113" t="s">
        <v>62</v>
      </c>
      <c r="V84" s="31" t="s">
        <v>228</v>
      </c>
      <c r="W84" s="160">
        <v>21</v>
      </c>
      <c r="AN84" s="238"/>
      <c r="AO84" s="237"/>
      <c r="AP84"/>
      <c r="AQ84"/>
      <c r="AR84"/>
    </row>
    <row r="85" spans="1:44" ht="15">
      <c r="A85" s="143" t="s">
        <v>218</v>
      </c>
      <c r="B85" s="29" t="s">
        <v>168</v>
      </c>
      <c r="C85" s="33" t="s">
        <v>412</v>
      </c>
      <c r="D85" s="28"/>
      <c r="E85" s="28"/>
      <c r="F85" s="28">
        <v>-0.172</v>
      </c>
      <c r="G85" s="29" t="str">
        <f t="shared" si="12"/>
        <v xml:space="preserve"> </v>
      </c>
      <c r="H85" s="29"/>
      <c r="I85" s="28"/>
      <c r="J85" s="30" t="s">
        <v>457</v>
      </c>
      <c r="K85" s="108" t="s">
        <v>228</v>
      </c>
      <c r="L85" s="31"/>
      <c r="M85" s="30"/>
      <c r="N85" s="113" t="s">
        <v>62</v>
      </c>
      <c r="O85" s="31" t="s">
        <v>228</v>
      </c>
      <c r="P85" s="108"/>
      <c r="Q85" s="31"/>
      <c r="R85" s="59"/>
      <c r="S85" s="113" t="s">
        <v>62</v>
      </c>
      <c r="T85" s="31" t="s">
        <v>228</v>
      </c>
      <c r="U85" s="113" t="s">
        <v>62</v>
      </c>
      <c r="V85" s="31" t="s">
        <v>228</v>
      </c>
      <c r="W85" s="160">
        <v>21</v>
      </c>
      <c r="AC85" s="61"/>
      <c r="AN85" s="238"/>
      <c r="AO85" s="237"/>
      <c r="AP85"/>
      <c r="AQ85"/>
      <c r="AR85"/>
    </row>
    <row r="86" spans="1:44" ht="15">
      <c r="A86" s="143" t="s">
        <v>218</v>
      </c>
      <c r="B86" s="29" t="s">
        <v>145</v>
      </c>
      <c r="C86" s="33" t="s">
        <v>413</v>
      </c>
      <c r="D86" s="28" t="s">
        <v>229</v>
      </c>
      <c r="E86" s="28"/>
      <c r="F86" s="28">
        <v>-0.14</v>
      </c>
      <c r="G86" s="29" t="str">
        <f t="shared" si="12"/>
        <v xml:space="preserve"> </v>
      </c>
      <c r="H86" s="29"/>
      <c r="I86" s="28"/>
      <c r="J86" s="30" t="s">
        <v>457</v>
      </c>
      <c r="K86" s="108" t="s">
        <v>228</v>
      </c>
      <c r="L86" s="31"/>
      <c r="M86" s="30"/>
      <c r="N86" s="113" t="s">
        <v>62</v>
      </c>
      <c r="O86" s="31" t="s">
        <v>228</v>
      </c>
      <c r="P86" s="108"/>
      <c r="Q86" s="31"/>
      <c r="R86" s="59"/>
      <c r="S86" s="113" t="s">
        <v>62</v>
      </c>
      <c r="T86" s="31" t="s">
        <v>228</v>
      </c>
      <c r="U86" s="113" t="s">
        <v>62</v>
      </c>
      <c r="V86" s="31" t="s">
        <v>228</v>
      </c>
      <c r="W86" s="160">
        <v>21</v>
      </c>
      <c r="AN86" s="238"/>
      <c r="AO86" s="237"/>
      <c r="AP86"/>
      <c r="AQ86"/>
      <c r="AR86"/>
    </row>
    <row r="87" spans="1:44" ht="25.5">
      <c r="A87" s="143" t="s">
        <v>218</v>
      </c>
      <c r="B87" s="29" t="s">
        <v>145</v>
      </c>
      <c r="C87" s="33" t="s">
        <v>227</v>
      </c>
      <c r="D87" s="28" t="s">
        <v>226</v>
      </c>
      <c r="E87" s="28">
        <f>K87/K13^F87</f>
        <v>0.7853293792503124</v>
      </c>
      <c r="F87" s="28">
        <v>0.873</v>
      </c>
      <c r="G87" s="29" t="str">
        <f t="shared" si="12"/>
        <v xml:space="preserve"> </v>
      </c>
      <c r="H87" s="29"/>
      <c r="I87" s="28"/>
      <c r="J87" s="30" t="s">
        <v>458</v>
      </c>
      <c r="K87" s="108">
        <v>467.762</v>
      </c>
      <c r="L87" s="31"/>
      <c r="M87" s="30"/>
      <c r="N87" s="113">
        <f>$E$87*N13^$F$87</f>
        <v>1.7463761028367728</v>
      </c>
      <c r="O87" s="31">
        <f>O88/O13</f>
        <v>0.2054463155522861</v>
      </c>
      <c r="P87" s="108">
        <v>0.37</v>
      </c>
      <c r="Q87" s="31"/>
      <c r="R87" s="59"/>
      <c r="S87" s="113">
        <f>$E$87*S13^$F$87</f>
        <v>0.006720781556927631</v>
      </c>
      <c r="T87" s="31">
        <f>T88/T13</f>
        <v>205.44631555228608</v>
      </c>
      <c r="U87" s="113">
        <f>$E$87*U13^$F$87</f>
        <v>2.5864362586367962E-05</v>
      </c>
      <c r="V87" s="31">
        <f>V88/V13</f>
        <v>205446.3155522861</v>
      </c>
      <c r="W87" s="160">
        <v>21</v>
      </c>
      <c r="AC87" s="61"/>
      <c r="AN87" s="238"/>
      <c r="AO87" s="237"/>
      <c r="AP87"/>
      <c r="AQ87"/>
      <c r="AR87"/>
    </row>
    <row r="88" spans="1:44" ht="25.5">
      <c r="A88" s="143" t="s">
        <v>218</v>
      </c>
      <c r="B88" s="29" t="s">
        <v>145</v>
      </c>
      <c r="C88" s="33" t="s">
        <v>414</v>
      </c>
      <c r="D88" s="28" t="s">
        <v>221</v>
      </c>
      <c r="E88" s="28">
        <f>K88/K13^F88</f>
        <v>0.7853295471411158</v>
      </c>
      <c r="F88" s="28">
        <v>-0.127</v>
      </c>
      <c r="G88" s="29" t="str">
        <f t="shared" si="12"/>
        <v xml:space="preserve"> </v>
      </c>
      <c r="H88" s="29"/>
      <c r="I88" s="28"/>
      <c r="J88" s="30" t="s">
        <v>458</v>
      </c>
      <c r="K88" s="108">
        <v>0.31</v>
      </c>
      <c r="L88" s="31"/>
      <c r="M88" s="30"/>
      <c r="N88" s="113">
        <f>$E$88*N13^$F$88</f>
        <v>0.6991324849972563</v>
      </c>
      <c r="O88" s="31">
        <f>0.31</f>
        <v>0.31</v>
      </c>
      <c r="P88" s="108">
        <v>0.89</v>
      </c>
      <c r="Q88" s="31"/>
      <c r="R88" s="59"/>
      <c r="S88" s="113">
        <f>$E$88*S13^$F$88</f>
        <v>1.5697897245386387</v>
      </c>
      <c r="T88" s="31">
        <f>O88</f>
        <v>0.31</v>
      </c>
      <c r="U88" s="113">
        <f>$E$88*U13^$F$88</f>
        <v>3.524710741021806</v>
      </c>
      <c r="V88" s="31">
        <f>T88</f>
        <v>0.31</v>
      </c>
      <c r="W88" s="160">
        <v>21</v>
      </c>
      <c r="AC88" s="61"/>
      <c r="AN88" s="238"/>
      <c r="AO88" s="237"/>
      <c r="AP88"/>
      <c r="AQ88"/>
      <c r="AR88"/>
    </row>
    <row r="89" spans="1:44" ht="38.25">
      <c r="A89" s="143"/>
      <c r="B89" s="29" t="s">
        <v>145</v>
      </c>
      <c r="C89" s="33" t="s">
        <v>415</v>
      </c>
      <c r="D89" s="28" t="s">
        <v>226</v>
      </c>
      <c r="E89" s="28"/>
      <c r="F89" s="28">
        <v>1</v>
      </c>
      <c r="G89" s="29" t="str">
        <f t="shared" si="12"/>
        <v xml:space="preserve"> </v>
      </c>
      <c r="H89" s="29"/>
      <c r="I89" s="28"/>
      <c r="J89" s="30" t="s">
        <v>460</v>
      </c>
      <c r="K89" s="108">
        <f>K87/K39</f>
        <v>5.435300952823611E-09</v>
      </c>
      <c r="L89" s="31"/>
      <c r="M89" s="59"/>
      <c r="N89" s="113"/>
      <c r="O89" s="31">
        <f>K89</f>
        <v>5.435300952823611E-09</v>
      </c>
      <c r="P89" s="108"/>
      <c r="Q89" s="31"/>
      <c r="R89" s="59"/>
      <c r="S89" s="113"/>
      <c r="T89" s="31">
        <f>O89</f>
        <v>5.435300952823611E-09</v>
      </c>
      <c r="U89" s="113"/>
      <c r="V89" s="31">
        <f>T89</f>
        <v>5.435300952823611E-09</v>
      </c>
      <c r="W89" s="159"/>
      <c r="AC89" s="61"/>
      <c r="AN89" s="236"/>
      <c r="AO89" s="237"/>
      <c r="AP89"/>
      <c r="AQ89"/>
      <c r="AR89"/>
    </row>
    <row r="90" spans="1:44" ht="38.25">
      <c r="A90" s="143" t="s">
        <v>218</v>
      </c>
      <c r="B90" s="29" t="s">
        <v>145</v>
      </c>
      <c r="C90" s="33" t="s">
        <v>225</v>
      </c>
      <c r="D90" s="28" t="s">
        <v>11</v>
      </c>
      <c r="E90" s="28">
        <f>K90/K13^F90</f>
        <v>0.09228174287421902</v>
      </c>
      <c r="F90" s="28">
        <v>0.862</v>
      </c>
      <c r="G90" s="29" t="str">
        <f t="shared" si="12"/>
        <v xml:space="preserve"> </v>
      </c>
      <c r="H90" s="29"/>
      <c r="I90" s="28"/>
      <c r="J90" s="30" t="s">
        <v>459</v>
      </c>
      <c r="K90" s="108">
        <f>(48.615+52.812)/2</f>
        <v>50.713499999999996</v>
      </c>
      <c r="L90" s="31"/>
      <c r="M90" s="30">
        <v>2.1</v>
      </c>
      <c r="N90" s="113">
        <f>$E$90*N13^$F$90</f>
        <v>0.20315539552282447</v>
      </c>
      <c r="O90" s="31">
        <f>O91*O13</f>
        <v>0.05281185000000001</v>
      </c>
      <c r="P90" s="108">
        <v>0.19</v>
      </c>
      <c r="Q90" s="31"/>
      <c r="R90" s="59"/>
      <c r="S90" s="113">
        <f>$E$90*S13^$F$90</f>
        <v>0.0008385642840206392</v>
      </c>
      <c r="T90" s="31">
        <f>T91*T13</f>
        <v>5.2811850000000005E-05</v>
      </c>
      <c r="U90" s="113">
        <f>$E$87*U13^$F$87</f>
        <v>2.5864362586367962E-05</v>
      </c>
      <c r="V90" s="31">
        <f>$E$90*V13^$F$90</f>
        <v>8.85367517521339E-07</v>
      </c>
      <c r="W90" s="160" t="s">
        <v>538</v>
      </c>
      <c r="AC90" s="61"/>
      <c r="AN90" s="238"/>
      <c r="AO90" s="237"/>
      <c r="AP90"/>
      <c r="AQ90"/>
      <c r="AR90"/>
    </row>
    <row r="91" spans="1:44" ht="38.25">
      <c r="A91" s="143" t="s">
        <v>218</v>
      </c>
      <c r="B91" s="29" t="s">
        <v>145</v>
      </c>
      <c r="C91" s="33" t="s">
        <v>225</v>
      </c>
      <c r="D91" s="28" t="s">
        <v>224</v>
      </c>
      <c r="E91" s="28"/>
      <c r="F91" s="28"/>
      <c r="G91" s="29" t="str">
        <f t="shared" si="12"/>
        <v xml:space="preserve"> </v>
      </c>
      <c r="H91" s="29"/>
      <c r="I91" s="28"/>
      <c r="J91" s="30" t="s">
        <v>461</v>
      </c>
      <c r="K91" s="108">
        <v>0.035</v>
      </c>
      <c r="L91" s="31"/>
      <c r="M91" s="30">
        <v>0.005</v>
      </c>
      <c r="N91" s="113">
        <f>N90/N13</f>
        <v>0.08132984980582973</v>
      </c>
      <c r="O91" s="31">
        <f>K91</f>
        <v>0.035</v>
      </c>
      <c r="P91" s="108" t="s">
        <v>223</v>
      </c>
      <c r="Q91" s="31"/>
      <c r="R91" s="59"/>
      <c r="S91" s="113">
        <f>S90/S13</f>
        <v>0.1958655111540126</v>
      </c>
      <c r="T91" s="31">
        <f>O91</f>
        <v>0.035</v>
      </c>
      <c r="U91" s="113">
        <f>U90/U13</f>
        <v>3.524709987495443</v>
      </c>
      <c r="V91" s="31">
        <f>T91</f>
        <v>0.035</v>
      </c>
      <c r="W91" s="160">
        <v>10</v>
      </c>
      <c r="AC91" s="61"/>
      <c r="AN91" s="238"/>
      <c r="AO91" s="237"/>
      <c r="AP91"/>
      <c r="AQ91"/>
      <c r="AR91"/>
    </row>
    <row r="92" spans="1:44" ht="15">
      <c r="A92" s="143" t="s">
        <v>218</v>
      </c>
      <c r="B92" s="29" t="s">
        <v>145</v>
      </c>
      <c r="C92" s="33" t="s">
        <v>222</v>
      </c>
      <c r="D92" s="28" t="s">
        <v>221</v>
      </c>
      <c r="E92" s="28"/>
      <c r="F92" s="28"/>
      <c r="G92" s="29" t="str">
        <f t="shared" si="12"/>
        <v xml:space="preserve"> </v>
      </c>
      <c r="H92" s="29"/>
      <c r="I92" s="28"/>
      <c r="J92" s="30"/>
      <c r="K92" s="108">
        <v>0.34</v>
      </c>
      <c r="L92" s="31"/>
      <c r="M92" s="30">
        <v>0.05</v>
      </c>
      <c r="N92" s="113" t="s">
        <v>62</v>
      </c>
      <c r="O92" s="31">
        <v>0.34</v>
      </c>
      <c r="P92" s="108">
        <v>1.1</v>
      </c>
      <c r="Q92" s="31"/>
      <c r="R92" s="59"/>
      <c r="S92" s="113" t="s">
        <v>62</v>
      </c>
      <c r="T92" s="31">
        <v>0.34</v>
      </c>
      <c r="U92" s="113" t="s">
        <v>62</v>
      </c>
      <c r="V92" s="31">
        <v>0.34</v>
      </c>
      <c r="W92" s="160">
        <v>10</v>
      </c>
      <c r="AC92" s="61"/>
      <c r="AN92" s="238"/>
      <c r="AO92" s="237"/>
      <c r="AP92"/>
      <c r="AQ92"/>
      <c r="AR92"/>
    </row>
    <row r="93" spans="1:44" ht="15">
      <c r="A93" s="143" t="s">
        <v>218</v>
      </c>
      <c r="B93" s="29" t="s">
        <v>145</v>
      </c>
      <c r="C93" s="33" t="s">
        <v>220</v>
      </c>
      <c r="D93" s="28" t="s">
        <v>219</v>
      </c>
      <c r="E93" s="28"/>
      <c r="F93" s="28"/>
      <c r="G93" s="29" t="str">
        <f t="shared" si="12"/>
        <v xml:space="preserve"> </v>
      </c>
      <c r="H93" s="29"/>
      <c r="I93" s="28"/>
      <c r="J93" s="30"/>
      <c r="K93" s="108">
        <v>3.21</v>
      </c>
      <c r="L93" s="31"/>
      <c r="M93" s="30"/>
      <c r="N93" s="113" t="s">
        <v>62</v>
      </c>
      <c r="O93" s="31">
        <v>3.21</v>
      </c>
      <c r="P93" s="108"/>
      <c r="Q93" s="31"/>
      <c r="R93" s="59"/>
      <c r="S93" s="113" t="s">
        <v>62</v>
      </c>
      <c r="T93" s="31">
        <f>O93</f>
        <v>3.21</v>
      </c>
      <c r="U93" s="113" t="s">
        <v>62</v>
      </c>
      <c r="V93" s="31">
        <f>T93</f>
        <v>3.21</v>
      </c>
      <c r="W93" s="160">
        <v>15</v>
      </c>
      <c r="AC93" s="61"/>
      <c r="AN93" s="238"/>
      <c r="AO93" s="237"/>
      <c r="AP93"/>
      <c r="AQ93"/>
      <c r="AR93"/>
    </row>
    <row r="94" spans="1:44" ht="15">
      <c r="A94" s="143" t="s">
        <v>218</v>
      </c>
      <c r="B94" s="29" t="s">
        <v>145</v>
      </c>
      <c r="C94" s="33" t="s">
        <v>416</v>
      </c>
      <c r="D94" s="28"/>
      <c r="E94" s="28"/>
      <c r="F94" s="28"/>
      <c r="G94" s="29" t="str">
        <f t="shared" si="12"/>
        <v xml:space="preserve"> </v>
      </c>
      <c r="H94" s="29"/>
      <c r="I94" s="28"/>
      <c r="J94" s="30" t="s">
        <v>464</v>
      </c>
      <c r="K94" s="108">
        <v>-0.24</v>
      </c>
      <c r="L94" s="31"/>
      <c r="M94" s="30">
        <v>0.05</v>
      </c>
      <c r="N94" s="113"/>
      <c r="O94" s="31"/>
      <c r="P94" s="108"/>
      <c r="Q94" s="31"/>
      <c r="R94" s="59"/>
      <c r="S94" s="113"/>
      <c r="T94" s="31"/>
      <c r="U94" s="113"/>
      <c r="V94" s="31"/>
      <c r="W94" s="160">
        <v>16</v>
      </c>
      <c r="AC94" s="61"/>
      <c r="AN94" s="238"/>
      <c r="AO94" s="237"/>
      <c r="AP94"/>
      <c r="AQ94"/>
      <c r="AR94"/>
    </row>
    <row r="95" spans="1:44" ht="25.5">
      <c r="A95" s="143" t="s">
        <v>218</v>
      </c>
      <c r="B95" s="29" t="s">
        <v>145</v>
      </c>
      <c r="C95" s="33" t="s">
        <v>216</v>
      </c>
      <c r="D95" s="28"/>
      <c r="E95" s="28"/>
      <c r="F95" s="28">
        <v>-0.15</v>
      </c>
      <c r="G95" s="29" t="str">
        <f t="shared" si="12"/>
        <v xml:space="preserve"> </v>
      </c>
      <c r="H95" s="29"/>
      <c r="I95" s="28"/>
      <c r="J95" s="30" t="s">
        <v>462</v>
      </c>
      <c r="K95" s="108" t="s">
        <v>421</v>
      </c>
      <c r="L95" s="31"/>
      <c r="M95" s="30"/>
      <c r="N95" s="113"/>
      <c r="O95" s="31" t="s">
        <v>421</v>
      </c>
      <c r="P95" s="108"/>
      <c r="Q95" s="31"/>
      <c r="R95" s="59"/>
      <c r="S95" s="113"/>
      <c r="T95" s="31" t="s">
        <v>421</v>
      </c>
      <c r="U95" s="113"/>
      <c r="V95" s="31" t="s">
        <v>421</v>
      </c>
      <c r="W95" s="160">
        <v>10</v>
      </c>
      <c r="AN95" s="238"/>
      <c r="AO95" s="237"/>
      <c r="AP95"/>
      <c r="AQ95"/>
      <c r="AR95"/>
    </row>
    <row r="96" spans="1:48" s="142" customFormat="1" ht="15">
      <c r="A96" s="166" t="s">
        <v>70</v>
      </c>
      <c r="B96" s="167"/>
      <c r="C96" s="168"/>
      <c r="D96" s="167"/>
      <c r="E96" s="169"/>
      <c r="F96" s="170"/>
      <c r="G96" s="171" t="str">
        <f t="shared" si="12"/>
        <v xml:space="preserve"> </v>
      </c>
      <c r="H96" s="171"/>
      <c r="I96" s="172"/>
      <c r="J96" s="172"/>
      <c r="K96" s="173"/>
      <c r="L96" s="169"/>
      <c r="M96" s="174"/>
      <c r="N96" s="175"/>
      <c r="O96" s="169"/>
      <c r="P96" s="173"/>
      <c r="Q96" s="169"/>
      <c r="R96" s="174"/>
      <c r="S96" s="175"/>
      <c r="T96" s="169"/>
      <c r="U96" s="175"/>
      <c r="V96" s="169"/>
      <c r="W96" s="176" t="s">
        <v>70</v>
      </c>
      <c r="X96" s="248"/>
      <c r="Y96" s="248"/>
      <c r="Z96" s="248"/>
      <c r="AA96" s="248"/>
      <c r="AB96" s="137"/>
      <c r="AC96" s="248"/>
      <c r="AD96" s="141"/>
      <c r="AE96" s="248"/>
      <c r="AF96" s="141"/>
      <c r="AG96" s="141"/>
      <c r="AH96" s="141"/>
      <c r="AI96" s="141"/>
      <c r="AJ96" s="137"/>
      <c r="AK96" s="177"/>
      <c r="AL96" s="141"/>
      <c r="AM96" s="141"/>
      <c r="AN96" s="244"/>
      <c r="AO96" s="245"/>
      <c r="AP96" s="140"/>
      <c r="AQ96" s="140"/>
      <c r="AR96" s="140"/>
      <c r="AS96" s="141"/>
      <c r="AT96" s="141"/>
      <c r="AU96" s="141"/>
      <c r="AV96" s="141"/>
    </row>
    <row r="97" spans="1:44" s="29" customFormat="1" ht="15">
      <c r="A97" s="143" t="s">
        <v>70</v>
      </c>
      <c r="B97" s="28" t="s">
        <v>168</v>
      </c>
      <c r="C97" s="33" t="s">
        <v>327</v>
      </c>
      <c r="D97" s="28" t="s">
        <v>8</v>
      </c>
      <c r="E97" s="31">
        <v>5.05</v>
      </c>
      <c r="F97" s="32">
        <v>0.98</v>
      </c>
      <c r="G97" s="29" t="str">
        <f t="shared" si="12"/>
        <v xml:space="preserve"> </v>
      </c>
      <c r="I97" s="30"/>
      <c r="J97" s="30" t="s">
        <v>46</v>
      </c>
      <c r="K97" s="108">
        <v>255</v>
      </c>
      <c r="L97" s="31" t="str">
        <f aca="true" t="shared" si="13" ref="L97">IF(COUNT(M97)=1,"±","")</f>
        <v>±</v>
      </c>
      <c r="M97" s="59">
        <v>24</v>
      </c>
      <c r="N97" s="113">
        <f>0.0058*70^0.98</f>
        <v>0.3729272106018132</v>
      </c>
      <c r="O97" s="31">
        <f>K97/1000</f>
        <v>0.255</v>
      </c>
      <c r="P97" s="108">
        <v>0.15</v>
      </c>
      <c r="Q97" s="31" t="str">
        <f aca="true" t="shared" si="14" ref="Q97">IF(COUNT(R97)=1,"±","")</f>
        <v>±</v>
      </c>
      <c r="R97" s="59">
        <v>0.05</v>
      </c>
      <c r="S97" s="113">
        <f>0.0058*0.07^0.98</f>
        <v>0.00042817772740720236</v>
      </c>
      <c r="T97" s="31">
        <f>O97/1000</f>
        <v>0.000255</v>
      </c>
      <c r="U97" s="113">
        <f>0.0058*0.00007^0.98</f>
        <v>4.916138083668848E-07</v>
      </c>
      <c r="V97" s="31">
        <f>T97/1000</f>
        <v>2.55E-07</v>
      </c>
      <c r="W97" s="160" t="s">
        <v>539</v>
      </c>
      <c r="AB97" s="28"/>
      <c r="AE97" s="30"/>
      <c r="AJ97" s="28"/>
      <c r="AK97" s="35"/>
      <c r="AN97" s="238"/>
      <c r="AO97" s="237"/>
      <c r="AP97"/>
      <c r="AQ97"/>
      <c r="AR97"/>
    </row>
    <row r="98" spans="1:44" s="29" customFormat="1" ht="15">
      <c r="A98" s="143" t="s">
        <v>70</v>
      </c>
      <c r="B98" s="28" t="s">
        <v>168</v>
      </c>
      <c r="C98" s="33" t="s">
        <v>321</v>
      </c>
      <c r="D98" s="28" t="s">
        <v>47</v>
      </c>
      <c r="E98" s="31">
        <v>0.004214285714285713</v>
      </c>
      <c r="F98" s="32">
        <v>1</v>
      </c>
      <c r="G98" s="29" t="str">
        <f t="shared" si="12"/>
        <v xml:space="preserve"> </v>
      </c>
      <c r="I98" s="30"/>
      <c r="J98" s="30"/>
      <c r="K98" s="108">
        <v>0.295</v>
      </c>
      <c r="L98" s="31" t="str">
        <f aca="true" t="shared" si="15" ref="L98:L105">IF(COUNT(M98)=1,"±","")</f>
        <v>±</v>
      </c>
      <c r="M98" s="59">
        <v>0.015</v>
      </c>
      <c r="N98" s="113">
        <f aca="true" t="shared" si="16" ref="N98:N108">$E98*$N$4^$F98</f>
        <v>0.00029499999999999996</v>
      </c>
      <c r="O98" s="31">
        <f>K98/1000</f>
        <v>0.00029499999999999996</v>
      </c>
      <c r="P98" s="108">
        <v>9.5E-05</v>
      </c>
      <c r="Q98" s="31"/>
      <c r="R98" s="59"/>
      <c r="S98" s="113">
        <f aca="true" t="shared" si="17" ref="S98:S108">$E98*$S$4^$F98</f>
        <v>2.9499999999999993E-07</v>
      </c>
      <c r="T98" s="31">
        <f>O98/1000</f>
        <v>2.95E-07</v>
      </c>
      <c r="U98" s="113">
        <f aca="true" t="shared" si="18" ref="U98:U108">$E98*$U$4^$F98</f>
        <v>2.949999999999999E-10</v>
      </c>
      <c r="V98" s="31">
        <f>U98/1000</f>
        <v>2.949999999999999E-13</v>
      </c>
      <c r="W98" s="160">
        <v>14</v>
      </c>
      <c r="AB98" s="28"/>
      <c r="AE98" s="30"/>
      <c r="AJ98" s="28"/>
      <c r="AK98" s="35"/>
      <c r="AN98" s="238"/>
      <c r="AO98" s="237"/>
      <c r="AP98"/>
      <c r="AQ98"/>
      <c r="AR98"/>
    </row>
    <row r="99" spans="1:44" s="29" customFormat="1" ht="15">
      <c r="A99" s="143" t="s">
        <v>70</v>
      </c>
      <c r="B99" s="28" t="s">
        <v>168</v>
      </c>
      <c r="C99" s="33" t="s">
        <v>353</v>
      </c>
      <c r="D99" s="28" t="s">
        <v>48</v>
      </c>
      <c r="E99" s="31">
        <v>3.2467691839014274</v>
      </c>
      <c r="F99" s="32">
        <v>0.33</v>
      </c>
      <c r="G99" s="29" t="str">
        <f t="shared" si="12"/>
        <v xml:space="preserve"> </v>
      </c>
      <c r="I99" s="30"/>
      <c r="J99" s="30"/>
      <c r="K99" s="108" t="s">
        <v>49</v>
      </c>
      <c r="L99" s="31" t="str">
        <f t="shared" si="15"/>
        <v/>
      </c>
      <c r="M99" s="59" t="s">
        <v>50</v>
      </c>
      <c r="N99" s="113">
        <f t="shared" si="16"/>
        <v>1.35</v>
      </c>
      <c r="O99" s="31">
        <v>1.35</v>
      </c>
      <c r="P99" s="108" t="s">
        <v>51</v>
      </c>
      <c r="Q99" s="31"/>
      <c r="R99" s="59"/>
      <c r="S99" s="113">
        <f t="shared" si="17"/>
        <v>0.1381445539579018</v>
      </c>
      <c r="T99" s="31">
        <f>0.135</f>
        <v>0.135</v>
      </c>
      <c r="U99" s="113">
        <f t="shared" si="18"/>
        <v>0.014136235398687138</v>
      </c>
      <c r="V99" s="31">
        <v>0.0135</v>
      </c>
      <c r="W99" s="160" t="s">
        <v>303</v>
      </c>
      <c r="AB99" s="28"/>
      <c r="AE99" s="249"/>
      <c r="AJ99" s="28"/>
      <c r="AK99" s="35"/>
      <c r="AN99" s="238"/>
      <c r="AO99" s="237"/>
      <c r="AP99"/>
      <c r="AQ99"/>
      <c r="AR99"/>
    </row>
    <row r="100" spans="1:44" s="29" customFormat="1" ht="15">
      <c r="A100" s="143" t="s">
        <v>70</v>
      </c>
      <c r="B100" s="28" t="s">
        <v>168</v>
      </c>
      <c r="C100" s="33" t="s">
        <v>354</v>
      </c>
      <c r="D100" s="28" t="s">
        <v>8</v>
      </c>
      <c r="E100" s="31">
        <v>3.5063969468584806</v>
      </c>
      <c r="F100" s="32">
        <v>0.98</v>
      </c>
      <c r="G100" s="29" t="str">
        <f t="shared" si="12"/>
        <v xml:space="preserve"> </v>
      </c>
      <c r="I100" s="30"/>
      <c r="J100" s="30"/>
      <c r="K100" s="108">
        <v>177.8</v>
      </c>
      <c r="L100" s="31" t="str">
        <f t="shared" si="15"/>
        <v>±</v>
      </c>
      <c r="M100" s="59">
        <v>44</v>
      </c>
      <c r="N100" s="113">
        <f t="shared" si="16"/>
        <v>0.25885535794714093</v>
      </c>
      <c r="O100" s="31">
        <f>K100/1000</f>
        <v>0.1778</v>
      </c>
      <c r="P100" s="108">
        <v>0.091</v>
      </c>
      <c r="Q100" s="31" t="str">
        <f>IF(COUNT(R100)=1,"±","")</f>
        <v>±</v>
      </c>
      <c r="R100" s="59">
        <v>0.02</v>
      </c>
      <c r="S100" s="113">
        <f t="shared" si="17"/>
        <v>0.0002972057166708819</v>
      </c>
      <c r="T100" s="31">
        <f>O100/1000</f>
        <v>0.0001778</v>
      </c>
      <c r="U100" s="113">
        <f t="shared" si="18"/>
        <v>3.4123781992524943E-07</v>
      </c>
      <c r="V100" s="31">
        <f>T100/1000</f>
        <v>1.7780000000000002E-07</v>
      </c>
      <c r="W100" s="160">
        <v>25</v>
      </c>
      <c r="AB100" s="28"/>
      <c r="AE100" s="30"/>
      <c r="AJ100" s="28"/>
      <c r="AK100" s="35"/>
      <c r="AN100" s="238"/>
      <c r="AO100" s="237"/>
      <c r="AP100"/>
      <c r="AQ100"/>
      <c r="AR100"/>
    </row>
    <row r="101" spans="1:44" s="29" customFormat="1" ht="15">
      <c r="A101" s="143" t="s">
        <v>70</v>
      </c>
      <c r="B101" s="28" t="s">
        <v>168</v>
      </c>
      <c r="C101" s="33" t="s">
        <v>355</v>
      </c>
      <c r="D101" s="28" t="s">
        <v>52</v>
      </c>
      <c r="E101" s="31">
        <v>1.8037606577230152</v>
      </c>
      <c r="F101" s="32">
        <v>0.33</v>
      </c>
      <c r="G101" s="29" t="str">
        <f t="shared" si="12"/>
        <v xml:space="preserve"> </v>
      </c>
      <c r="I101" s="30"/>
      <c r="J101" s="30"/>
      <c r="K101" s="108" t="s">
        <v>53</v>
      </c>
      <c r="L101" s="31" t="str">
        <f t="shared" si="15"/>
        <v/>
      </c>
      <c r="M101" s="59" t="s">
        <v>54</v>
      </c>
      <c r="N101" s="113">
        <f t="shared" si="16"/>
        <v>0.75</v>
      </c>
      <c r="O101" s="31">
        <f>K101/10</f>
        <v>0.75</v>
      </c>
      <c r="P101" s="108">
        <v>1.5</v>
      </c>
      <c r="Q101" s="31"/>
      <c r="R101" s="59"/>
      <c r="S101" s="113">
        <f t="shared" si="17"/>
        <v>0.07674697442105655</v>
      </c>
      <c r="T101" s="31">
        <v>0.075</v>
      </c>
      <c r="U101" s="113">
        <f t="shared" si="18"/>
        <v>0.007853464110381743</v>
      </c>
      <c r="V101" s="31">
        <v>0.0075</v>
      </c>
      <c r="W101" s="160" t="s">
        <v>540</v>
      </c>
      <c r="AB101" s="28"/>
      <c r="AE101" s="249"/>
      <c r="AJ101" s="28"/>
      <c r="AK101" s="35"/>
      <c r="AN101" s="238"/>
      <c r="AO101" s="237"/>
      <c r="AP101"/>
      <c r="AQ101"/>
      <c r="AR101"/>
    </row>
    <row r="102" spans="1:44" s="29" customFormat="1" ht="15">
      <c r="A102" s="143" t="s">
        <v>70</v>
      </c>
      <c r="B102" s="28" t="s">
        <v>168</v>
      </c>
      <c r="C102" s="33" t="s">
        <v>355</v>
      </c>
      <c r="D102" s="28" t="s">
        <v>12</v>
      </c>
      <c r="E102" s="31">
        <v>36.0752131544603</v>
      </c>
      <c r="F102" s="32">
        <v>0.33</v>
      </c>
      <c r="G102" s="29" t="str">
        <f t="shared" si="12"/>
        <v xml:space="preserve"> </v>
      </c>
      <c r="I102" s="30"/>
      <c r="J102" s="30"/>
      <c r="K102" s="108" t="s">
        <v>55</v>
      </c>
      <c r="L102" s="31" t="str">
        <f t="shared" si="15"/>
        <v/>
      </c>
      <c r="M102" s="59" t="s">
        <v>56</v>
      </c>
      <c r="N102" s="113">
        <f t="shared" si="16"/>
        <v>14.999999999999998</v>
      </c>
      <c r="O102" s="31">
        <f>K102/10</f>
        <v>15</v>
      </c>
      <c r="P102" s="108" t="s">
        <v>57</v>
      </c>
      <c r="Q102" s="31"/>
      <c r="R102" s="59"/>
      <c r="S102" s="113">
        <f t="shared" si="17"/>
        <v>1.5349394884211307</v>
      </c>
      <c r="T102" s="31" t="s">
        <v>58</v>
      </c>
      <c r="U102" s="113">
        <f t="shared" si="18"/>
        <v>0.15706928220763483</v>
      </c>
      <c r="V102" s="31">
        <v>1</v>
      </c>
      <c r="W102" s="160" t="s">
        <v>541</v>
      </c>
      <c r="AB102" s="28"/>
      <c r="AE102" s="249"/>
      <c r="AJ102" s="28"/>
      <c r="AK102" s="35"/>
      <c r="AN102" s="238"/>
      <c r="AO102" s="237"/>
      <c r="AP102"/>
      <c r="AQ102"/>
      <c r="AR102"/>
    </row>
    <row r="103" spans="1:44" s="29" customFormat="1" ht="15">
      <c r="A103" s="143" t="s">
        <v>70</v>
      </c>
      <c r="B103" s="28" t="s">
        <v>168</v>
      </c>
      <c r="C103" s="33" t="s">
        <v>356</v>
      </c>
      <c r="D103" s="28" t="s">
        <v>520</v>
      </c>
      <c r="E103" s="31">
        <v>13.216435125256218</v>
      </c>
      <c r="F103" s="32">
        <v>0.67</v>
      </c>
      <c r="G103" s="29" t="str">
        <f t="shared" si="12"/>
        <v xml:space="preserve"> </v>
      </c>
      <c r="H103" s="89"/>
      <c r="I103" s="30"/>
      <c r="J103" s="30" t="s">
        <v>521</v>
      </c>
      <c r="K103" s="108">
        <f>0.5*(185+260)</f>
        <v>222.5</v>
      </c>
      <c r="L103" s="31" t="str">
        <f t="shared" si="15"/>
        <v>±</v>
      </c>
      <c r="M103" s="59">
        <f>K103-185</f>
        <v>37.5</v>
      </c>
      <c r="N103" s="113">
        <f t="shared" si="16"/>
        <v>2.225</v>
      </c>
      <c r="O103" s="31">
        <f>K103/100</f>
        <v>2.225</v>
      </c>
      <c r="P103" s="108">
        <f>100*0.01</f>
        <v>1</v>
      </c>
      <c r="Q103" s="31"/>
      <c r="R103" s="59"/>
      <c r="S103" s="113">
        <f t="shared" si="17"/>
        <v>0.021743528166266773</v>
      </c>
      <c r="T103" s="31">
        <f>S103</f>
        <v>0.021743528166266773</v>
      </c>
      <c r="U103" s="113">
        <f t="shared" si="18"/>
        <v>0.0002124858503897693</v>
      </c>
      <c r="V103" s="31">
        <f>T103/100</f>
        <v>0.00021743528166266773</v>
      </c>
      <c r="W103" s="160" t="s">
        <v>542</v>
      </c>
      <c r="AB103" s="28"/>
      <c r="AE103" s="30"/>
      <c r="AJ103" s="28"/>
      <c r="AK103" s="35"/>
      <c r="AN103" s="238"/>
      <c r="AO103" s="237"/>
      <c r="AP103"/>
      <c r="AQ103"/>
      <c r="AR103"/>
    </row>
    <row r="104" spans="1:44" s="29" customFormat="1" ht="15">
      <c r="A104" s="143" t="s">
        <v>70</v>
      </c>
      <c r="B104" s="28" t="s">
        <v>168</v>
      </c>
      <c r="C104" s="33" t="s">
        <v>357</v>
      </c>
      <c r="D104" s="28" t="s">
        <v>52</v>
      </c>
      <c r="E104" s="31">
        <v>7.732120686105991</v>
      </c>
      <c r="F104" s="32">
        <v>0.33</v>
      </c>
      <c r="G104" s="29" t="str">
        <f t="shared" si="12"/>
        <v xml:space="preserve"> </v>
      </c>
      <c r="I104" s="30"/>
      <c r="J104" s="30"/>
      <c r="K104" s="108">
        <v>32.15</v>
      </c>
      <c r="L104" s="31" t="str">
        <f t="shared" si="15"/>
        <v>±</v>
      </c>
      <c r="M104" s="59">
        <v>0.225</v>
      </c>
      <c r="N104" s="113">
        <f t="shared" si="16"/>
        <v>3.215</v>
      </c>
      <c r="O104" s="31">
        <f>K104/10</f>
        <v>3.215</v>
      </c>
      <c r="P104" s="108" t="s">
        <v>300</v>
      </c>
      <c r="Q104" s="31"/>
      <c r="R104" s="59"/>
      <c r="S104" s="113">
        <f t="shared" si="17"/>
        <v>0.32898869701826233</v>
      </c>
      <c r="T104" s="31">
        <f>N104/10</f>
        <v>0.3215</v>
      </c>
      <c r="U104" s="113">
        <f t="shared" si="18"/>
        <v>0.0336651828198364</v>
      </c>
      <c r="V104" s="31">
        <f>0.03215</f>
        <v>0.03215</v>
      </c>
      <c r="W104" s="160">
        <v>32</v>
      </c>
      <c r="AB104" s="28"/>
      <c r="AE104" s="30"/>
      <c r="AJ104" s="28"/>
      <c r="AK104" s="35"/>
      <c r="AN104" s="238"/>
      <c r="AO104" s="237"/>
      <c r="AP104"/>
      <c r="AQ104"/>
      <c r="AR104"/>
    </row>
    <row r="105" spans="1:44" s="29" customFormat="1" ht="15">
      <c r="A105" s="143" t="s">
        <v>70</v>
      </c>
      <c r="B105" s="28" t="s">
        <v>168</v>
      </c>
      <c r="C105" s="33" t="s">
        <v>358</v>
      </c>
      <c r="D105" s="28" t="s">
        <v>52</v>
      </c>
      <c r="E105" s="31">
        <v>84548.1049562682</v>
      </c>
      <c r="F105" s="63">
        <v>3</v>
      </c>
      <c r="G105" s="29" t="str">
        <f t="shared" si="12"/>
        <v xml:space="preserve"> </v>
      </c>
      <c r="H105" s="89"/>
      <c r="I105" s="30"/>
      <c r="J105" s="30"/>
      <c r="K105" s="108">
        <v>2.9</v>
      </c>
      <c r="L105" s="31" t="str">
        <f t="shared" si="15"/>
        <v/>
      </c>
      <c r="M105" s="59"/>
      <c r="N105" s="113">
        <f t="shared" si="16"/>
        <v>29</v>
      </c>
      <c r="O105" s="31">
        <v>29</v>
      </c>
      <c r="P105" s="108" t="s">
        <v>59</v>
      </c>
      <c r="Q105" s="31"/>
      <c r="R105" s="59"/>
      <c r="S105" s="113">
        <f t="shared" si="17"/>
        <v>2.9E-08</v>
      </c>
      <c r="T105" s="31">
        <f>290</f>
        <v>290</v>
      </c>
      <c r="U105" s="113">
        <f t="shared" si="18"/>
        <v>2.9E-17</v>
      </c>
      <c r="V105" s="31">
        <f>2900</f>
        <v>2900</v>
      </c>
      <c r="W105" s="160">
        <v>33</v>
      </c>
      <c r="AB105" s="28"/>
      <c r="AE105" s="30"/>
      <c r="AJ105" s="28"/>
      <c r="AK105" s="35"/>
      <c r="AN105" s="238"/>
      <c r="AO105" s="237"/>
      <c r="AP105"/>
      <c r="AQ105"/>
      <c r="AR105"/>
    </row>
    <row r="106" spans="1:44" s="29" customFormat="1" ht="15">
      <c r="A106" s="143" t="s">
        <v>70</v>
      </c>
      <c r="B106" s="28" t="s">
        <v>168</v>
      </c>
      <c r="C106" s="33" t="s">
        <v>359</v>
      </c>
      <c r="D106" s="28" t="s">
        <v>47</v>
      </c>
      <c r="E106" s="31">
        <v>0.0003825</v>
      </c>
      <c r="F106" s="32">
        <v>1</v>
      </c>
      <c r="G106" s="29" t="str">
        <f t="shared" si="12"/>
        <v xml:space="preserve"> </v>
      </c>
      <c r="I106" s="30"/>
      <c r="J106" s="30" t="s">
        <v>384</v>
      </c>
      <c r="K106" s="108">
        <f>10.5*K97/100*0.001</f>
        <v>0.026775</v>
      </c>
      <c r="L106" s="31"/>
      <c r="M106" s="59"/>
      <c r="N106" s="113">
        <f t="shared" si="16"/>
        <v>2.6775E-05</v>
      </c>
      <c r="O106" s="31">
        <f aca="true" t="shared" si="19" ref="O106:O109">K106/1000</f>
        <v>2.6775E-05</v>
      </c>
      <c r="P106" s="108">
        <f>(18.9/1000)*(0.15/100)</f>
        <v>2.835E-05</v>
      </c>
      <c r="Q106" s="31"/>
      <c r="R106" s="59"/>
      <c r="S106" s="113">
        <f t="shared" si="17"/>
        <v>2.6775E-08</v>
      </c>
      <c r="T106" s="31">
        <f>S106</f>
        <v>2.6775E-08</v>
      </c>
      <c r="U106" s="113">
        <f t="shared" si="18"/>
        <v>2.6775E-11</v>
      </c>
      <c r="V106" s="31">
        <f>U106</f>
        <v>2.6775E-11</v>
      </c>
      <c r="W106" s="160" t="s">
        <v>543</v>
      </c>
      <c r="AB106" s="28"/>
      <c r="AE106" s="30"/>
      <c r="AJ106" s="28"/>
      <c r="AK106" s="35"/>
      <c r="AN106" s="238"/>
      <c r="AO106" s="237"/>
      <c r="AP106"/>
      <c r="AQ106"/>
      <c r="AR106"/>
    </row>
    <row r="107" spans="1:44" s="29" customFormat="1" ht="15">
      <c r="A107" s="143" t="s">
        <v>70</v>
      </c>
      <c r="B107" s="28" t="s">
        <v>168</v>
      </c>
      <c r="C107" s="33" t="s">
        <v>360</v>
      </c>
      <c r="D107" s="28" t="s">
        <v>13</v>
      </c>
      <c r="E107" s="31">
        <v>1.714285714285714</v>
      </c>
      <c r="F107" s="32">
        <v>1</v>
      </c>
      <c r="G107" s="29" t="str">
        <f t="shared" si="12"/>
        <v xml:space="preserve"> </v>
      </c>
      <c r="I107" s="30"/>
      <c r="J107" s="30"/>
      <c r="K107" s="108">
        <v>120</v>
      </c>
      <c r="L107" s="31"/>
      <c r="M107" s="59"/>
      <c r="N107" s="113">
        <f t="shared" si="16"/>
        <v>0.12</v>
      </c>
      <c r="O107" s="31">
        <f t="shared" si="19"/>
        <v>0.12</v>
      </c>
      <c r="P107" s="108">
        <v>0.06</v>
      </c>
      <c r="Q107" s="31"/>
      <c r="R107" s="59"/>
      <c r="S107" s="113">
        <f t="shared" si="17"/>
        <v>0.00011999999999999999</v>
      </c>
      <c r="T107" s="31">
        <f>S107</f>
        <v>0.00011999999999999999</v>
      </c>
      <c r="U107" s="113">
        <f t="shared" si="18"/>
        <v>1.2E-07</v>
      </c>
      <c r="V107" s="31">
        <f>U107</f>
        <v>1.2E-07</v>
      </c>
      <c r="W107" s="160" t="s">
        <v>544</v>
      </c>
      <c r="AB107" s="28"/>
      <c r="AE107" s="249"/>
      <c r="AJ107" s="28"/>
      <c r="AK107" s="35"/>
      <c r="AN107" s="238"/>
      <c r="AO107" s="237"/>
      <c r="AP107"/>
      <c r="AQ107"/>
      <c r="AR107"/>
    </row>
    <row r="108" spans="1:44" s="29" customFormat="1" ht="15">
      <c r="A108" s="143" t="s">
        <v>70</v>
      </c>
      <c r="B108" s="28" t="s">
        <v>145</v>
      </c>
      <c r="C108" s="33" t="s">
        <v>371</v>
      </c>
      <c r="D108" s="28" t="s">
        <v>60</v>
      </c>
      <c r="E108" s="31">
        <v>0.009917168943493976</v>
      </c>
      <c r="F108" s="32">
        <v>0.75</v>
      </c>
      <c r="G108" s="29" t="str">
        <f t="shared" si="12"/>
        <v xml:space="preserve"> </v>
      </c>
      <c r="I108" s="30"/>
      <c r="J108" s="30"/>
      <c r="K108" s="108">
        <v>0.24</v>
      </c>
      <c r="L108" s="31"/>
      <c r="M108" s="59"/>
      <c r="N108" s="113">
        <f t="shared" si="16"/>
        <v>0.0013496191804568374</v>
      </c>
      <c r="O108" s="31">
        <f t="shared" si="19"/>
        <v>0.00023999999999999998</v>
      </c>
      <c r="P108" s="108">
        <v>0.00028</v>
      </c>
      <c r="Q108" s="31"/>
      <c r="R108" s="59"/>
      <c r="S108" s="113">
        <f t="shared" si="17"/>
        <v>7.589466384404106E-06</v>
      </c>
      <c r="T108" s="31">
        <f>O108/1000</f>
        <v>2.4E-07</v>
      </c>
      <c r="U108" s="113">
        <f t="shared" si="18"/>
        <v>4.267870584093413E-08</v>
      </c>
      <c r="V108" s="31">
        <f>T108/1000</f>
        <v>2.4E-10</v>
      </c>
      <c r="W108" s="160">
        <v>14</v>
      </c>
      <c r="AB108" s="28"/>
      <c r="AE108" s="30"/>
      <c r="AJ108" s="28"/>
      <c r="AK108" s="35"/>
      <c r="AN108" s="238"/>
      <c r="AO108" s="237"/>
      <c r="AP108"/>
      <c r="AQ108"/>
      <c r="AR108"/>
    </row>
    <row r="109" spans="1:44" s="29" customFormat="1" ht="15">
      <c r="A109" s="143" t="s">
        <v>70</v>
      </c>
      <c r="B109" s="28" t="s">
        <v>168</v>
      </c>
      <c r="C109" s="33" t="s">
        <v>322</v>
      </c>
      <c r="D109" s="28" t="s">
        <v>12</v>
      </c>
      <c r="E109" s="31" t="s">
        <v>62</v>
      </c>
      <c r="F109" s="31" t="s">
        <v>62</v>
      </c>
      <c r="G109" s="29" t="str">
        <f t="shared" si="12"/>
        <v xml:space="preserve"> </v>
      </c>
      <c r="I109" s="30"/>
      <c r="J109" s="30" t="s">
        <v>522</v>
      </c>
      <c r="K109" s="108">
        <f>K98*1000*20000000</f>
        <v>5900000000</v>
      </c>
      <c r="L109" s="31"/>
      <c r="M109" s="59"/>
      <c r="N109" s="113"/>
      <c r="O109" s="31">
        <f t="shared" si="19"/>
        <v>5900000</v>
      </c>
      <c r="P109" s="108">
        <v>2810000</v>
      </c>
      <c r="Q109" s="31"/>
      <c r="R109" s="59"/>
      <c r="S109" s="113" t="s">
        <v>62</v>
      </c>
      <c r="T109" s="31">
        <f>O109/1000</f>
        <v>5900</v>
      </c>
      <c r="U109" s="113" t="s">
        <v>62</v>
      </c>
      <c r="V109" s="31">
        <f>5.6</f>
        <v>5.6</v>
      </c>
      <c r="W109" s="160">
        <v>38</v>
      </c>
      <c r="AB109" s="28"/>
      <c r="AE109" s="30"/>
      <c r="AJ109" s="28"/>
      <c r="AK109" s="35"/>
      <c r="AN109" s="238"/>
      <c r="AO109" s="237"/>
      <c r="AP109"/>
      <c r="AQ109"/>
      <c r="AR109"/>
    </row>
    <row r="110" spans="1:44" s="29" customFormat="1" ht="15">
      <c r="A110" s="143" t="s">
        <v>70</v>
      </c>
      <c r="B110" s="28" t="s">
        <v>168</v>
      </c>
      <c r="C110" s="33" t="s">
        <v>374</v>
      </c>
      <c r="D110" s="28" t="s">
        <v>8</v>
      </c>
      <c r="E110" s="31" t="s">
        <v>62</v>
      </c>
      <c r="F110" s="31" t="s">
        <v>62</v>
      </c>
      <c r="G110" s="29" t="str">
        <f t="shared" si="12"/>
        <v xml:space="preserve"> </v>
      </c>
      <c r="I110" s="30"/>
      <c r="J110" s="30"/>
      <c r="K110" s="108">
        <f>K97/K109</f>
        <v>4.322033898305085E-08</v>
      </c>
      <c r="L110" s="31"/>
      <c r="M110" s="59"/>
      <c r="N110" s="113"/>
      <c r="O110" s="31">
        <f>K110</f>
        <v>4.322033898305085E-08</v>
      </c>
      <c r="P110" s="108">
        <f>P97/P109</f>
        <v>5.3380782918149466E-08</v>
      </c>
      <c r="Q110" s="31"/>
      <c r="R110" s="59"/>
      <c r="S110" s="113" t="s">
        <v>62</v>
      </c>
      <c r="T110" s="31">
        <f>O110</f>
        <v>4.322033898305085E-08</v>
      </c>
      <c r="U110" s="113" t="s">
        <v>62</v>
      </c>
      <c r="V110" s="31">
        <f>T110</f>
        <v>4.322033898305085E-08</v>
      </c>
      <c r="W110" s="159"/>
      <c r="AB110" s="28"/>
      <c r="AE110" s="30"/>
      <c r="AJ110" s="28"/>
      <c r="AK110" s="35"/>
      <c r="AN110" s="236"/>
      <c r="AO110" s="237"/>
      <c r="AP110"/>
      <c r="AQ110"/>
      <c r="AR110"/>
    </row>
    <row r="111" spans="1:44" s="29" customFormat="1" ht="15">
      <c r="A111" s="143" t="s">
        <v>70</v>
      </c>
      <c r="B111" s="28" t="s">
        <v>168</v>
      </c>
      <c r="C111" s="33" t="s">
        <v>373</v>
      </c>
      <c r="D111" s="28" t="s">
        <v>523</v>
      </c>
      <c r="E111" s="31" t="s">
        <v>62</v>
      </c>
      <c r="F111" s="31" t="s">
        <v>62</v>
      </c>
      <c r="G111" s="29" t="str">
        <f t="shared" si="12"/>
        <v xml:space="preserve"> </v>
      </c>
      <c r="I111" s="30"/>
      <c r="J111" s="30"/>
      <c r="K111" s="108">
        <v>20000000</v>
      </c>
      <c r="L111" s="31"/>
      <c r="M111" s="59"/>
      <c r="N111" s="113"/>
      <c r="O111" s="31">
        <f>K111</f>
        <v>20000000</v>
      </c>
      <c r="P111" s="108">
        <f>58000*1000</f>
        <v>58000000</v>
      </c>
      <c r="Q111" s="31"/>
      <c r="R111" s="59"/>
      <c r="S111" s="113" t="s">
        <v>62</v>
      </c>
      <c r="T111" s="31">
        <f>O111</f>
        <v>20000000</v>
      </c>
      <c r="U111" s="113" t="s">
        <v>62</v>
      </c>
      <c r="V111" s="31" t="s">
        <v>63</v>
      </c>
      <c r="W111" s="160" t="s">
        <v>545</v>
      </c>
      <c r="AB111" s="28"/>
      <c r="AE111" s="30"/>
      <c r="AJ111" s="28"/>
      <c r="AK111" s="35"/>
      <c r="AN111" s="238"/>
      <c r="AO111" s="237"/>
      <c r="AP111"/>
      <c r="AQ111"/>
      <c r="AR111"/>
    </row>
    <row r="112" spans="1:44" s="29" customFormat="1" ht="25.5">
      <c r="A112" s="143" t="s">
        <v>70</v>
      </c>
      <c r="B112" s="28" t="s">
        <v>168</v>
      </c>
      <c r="C112" s="33" t="s">
        <v>372</v>
      </c>
      <c r="D112" s="28" t="s">
        <v>64</v>
      </c>
      <c r="E112" s="31" t="s">
        <v>62</v>
      </c>
      <c r="F112" s="31" t="s">
        <v>62</v>
      </c>
      <c r="G112" s="29" t="str">
        <f t="shared" si="12"/>
        <v xml:space="preserve"> </v>
      </c>
      <c r="I112" s="30"/>
      <c r="J112" s="30" t="s">
        <v>385</v>
      </c>
      <c r="K112" s="108">
        <v>5</v>
      </c>
      <c r="L112" s="31"/>
      <c r="M112" s="59"/>
      <c r="N112" s="113"/>
      <c r="O112" s="31">
        <v>5</v>
      </c>
      <c r="P112" s="108">
        <v>5</v>
      </c>
      <c r="Q112" s="31"/>
      <c r="R112" s="59"/>
      <c r="S112" s="113" t="s">
        <v>62</v>
      </c>
      <c r="T112" s="31" t="s">
        <v>58</v>
      </c>
      <c r="U112" s="113" t="s">
        <v>62</v>
      </c>
      <c r="V112" s="31">
        <v>1</v>
      </c>
      <c r="W112" s="159"/>
      <c r="AB112" s="28"/>
      <c r="AE112" s="30"/>
      <c r="AJ112" s="28"/>
      <c r="AK112" s="35"/>
      <c r="AN112" s="236"/>
      <c r="AO112" s="237"/>
      <c r="AP112"/>
      <c r="AQ112"/>
      <c r="AR112"/>
    </row>
    <row r="113" spans="1:44" s="29" customFormat="1" ht="38.25">
      <c r="A113" s="143" t="s">
        <v>70</v>
      </c>
      <c r="B113" s="28" t="s">
        <v>145</v>
      </c>
      <c r="C113" s="33" t="s">
        <v>370</v>
      </c>
      <c r="D113" s="28" t="s">
        <v>524</v>
      </c>
      <c r="E113" s="31" t="s">
        <v>62</v>
      </c>
      <c r="F113" s="31" t="s">
        <v>62</v>
      </c>
      <c r="G113" s="29" t="str">
        <f t="shared" si="12"/>
        <v xml:space="preserve"> </v>
      </c>
      <c r="I113" s="30"/>
      <c r="J113" s="28" t="s">
        <v>386</v>
      </c>
      <c r="K113" s="108">
        <f>(1/100)*K109</f>
        <v>59000000</v>
      </c>
      <c r="L113" s="64" t="str">
        <f aca="true" t="shared" si="20" ref="L113">IF(COUNT(M113)=1,"±","")</f>
        <v/>
      </c>
      <c r="M113" s="59"/>
      <c r="N113" s="108" t="s">
        <v>62</v>
      </c>
      <c r="O113" s="34">
        <f>(1/100)*O109</f>
        <v>59000</v>
      </c>
      <c r="P113" s="108">
        <f>0.0005/100*P109</f>
        <v>14.05</v>
      </c>
      <c r="Q113" s="64" t="str">
        <f aca="true" t="shared" si="21" ref="Q113">IF(COUNT(R113)=1,"±","")</f>
        <v/>
      </c>
      <c r="R113" s="59"/>
      <c r="S113" s="108" t="s">
        <v>62</v>
      </c>
      <c r="T113" s="34">
        <f>(1/100)*T109</f>
        <v>59</v>
      </c>
      <c r="U113" s="113" t="s">
        <v>62</v>
      </c>
      <c r="V113" s="34">
        <f>(1/100)*V109</f>
        <v>0.055999999999999994</v>
      </c>
      <c r="W113" s="160" t="s">
        <v>546</v>
      </c>
      <c r="AB113" s="28"/>
      <c r="AE113" s="30"/>
      <c r="AJ113" s="28"/>
      <c r="AK113" s="35"/>
      <c r="AN113" s="238"/>
      <c r="AO113" s="237"/>
      <c r="AP113"/>
      <c r="AQ113"/>
      <c r="AR113"/>
    </row>
    <row r="114" spans="1:44" s="29" customFormat="1" ht="15">
      <c r="A114" s="143" t="s">
        <v>70</v>
      </c>
      <c r="B114" s="28" t="s">
        <v>145</v>
      </c>
      <c r="C114" s="33" t="s">
        <v>369</v>
      </c>
      <c r="D114" s="28" t="s">
        <v>65</v>
      </c>
      <c r="E114" s="31" t="s">
        <v>62</v>
      </c>
      <c r="F114" s="31" t="s">
        <v>62</v>
      </c>
      <c r="G114" s="29" t="str">
        <f t="shared" si="12"/>
        <v xml:space="preserve"> </v>
      </c>
      <c r="I114" s="30"/>
      <c r="J114" s="30"/>
      <c r="K114" s="108">
        <v>10.5</v>
      </c>
      <c r="L114" s="31"/>
      <c r="M114" s="59"/>
      <c r="N114" s="113"/>
      <c r="O114" s="31">
        <v>10.5</v>
      </c>
      <c r="P114" s="108">
        <f>0.069*60</f>
        <v>4.140000000000001</v>
      </c>
      <c r="Q114" s="31"/>
      <c r="R114" s="59"/>
      <c r="S114" s="113" t="s">
        <v>62</v>
      </c>
      <c r="T114" s="31">
        <v>10.5</v>
      </c>
      <c r="U114" s="113" t="s">
        <v>62</v>
      </c>
      <c r="V114" s="31">
        <v>10.5</v>
      </c>
      <c r="W114" s="160" t="s">
        <v>547</v>
      </c>
      <c r="AB114" s="28"/>
      <c r="AE114" s="249"/>
      <c r="AJ114" s="28"/>
      <c r="AK114" s="35"/>
      <c r="AN114" s="238"/>
      <c r="AO114" s="237"/>
      <c r="AP114"/>
      <c r="AQ114"/>
      <c r="AR114"/>
    </row>
    <row r="115" spans="1:44" s="29" customFormat="1" ht="15.75">
      <c r="A115" s="143" t="s">
        <v>70</v>
      </c>
      <c r="B115" s="28" t="s">
        <v>128</v>
      </c>
      <c r="C115" s="33" t="s">
        <v>525</v>
      </c>
      <c r="D115" s="28" t="s">
        <v>526</v>
      </c>
      <c r="E115" s="31">
        <v>0.4132153726455824</v>
      </c>
      <c r="F115" s="32">
        <v>0.75</v>
      </c>
      <c r="G115" s="29" t="str">
        <f t="shared" si="12"/>
        <v xml:space="preserve"> </v>
      </c>
      <c r="I115" s="30"/>
      <c r="J115" s="30"/>
      <c r="K115" s="108">
        <v>10</v>
      </c>
      <c r="L115" s="31" t="str">
        <f aca="true" t="shared" si="22" ref="L115:L117">IF(COUNT(M115)=1,"±","")</f>
        <v>±</v>
      </c>
      <c r="M115" s="59">
        <v>3</v>
      </c>
      <c r="N115" s="113">
        <f>$E115*$N$4^$F115</f>
        <v>0.0562341325190349</v>
      </c>
      <c r="O115" s="31">
        <f>K115</f>
        <v>10</v>
      </c>
      <c r="P115" s="108">
        <v>0.83</v>
      </c>
      <c r="Q115" s="31" t="str">
        <f aca="true" t="shared" si="23" ref="Q115:Q118">IF(COUNT(R115)=1,"±","")</f>
        <v>±</v>
      </c>
      <c r="R115" s="59">
        <v>0.12</v>
      </c>
      <c r="S115" s="113">
        <f>$E115*$S$4^$F115</f>
        <v>0.0003162277660168378</v>
      </c>
      <c r="T115" s="31">
        <v>10</v>
      </c>
      <c r="U115" s="113">
        <f>$E115*$U$4^$F115</f>
        <v>1.7782794100389223E-06</v>
      </c>
      <c r="V115" s="31">
        <v>10</v>
      </c>
      <c r="W115" s="160" t="s">
        <v>548</v>
      </c>
      <c r="AB115" s="28"/>
      <c r="AE115" s="30"/>
      <c r="AJ115" s="28"/>
      <c r="AK115" s="35"/>
      <c r="AN115" s="238"/>
      <c r="AO115" s="237"/>
      <c r="AP115"/>
      <c r="AQ115"/>
      <c r="AR115"/>
    </row>
    <row r="116" spans="1:44" s="29" customFormat="1" ht="15">
      <c r="A116" s="143" t="s">
        <v>70</v>
      </c>
      <c r="B116" s="28" t="s">
        <v>145</v>
      </c>
      <c r="C116" s="33" t="s">
        <v>368</v>
      </c>
      <c r="D116" s="28" t="s">
        <v>11</v>
      </c>
      <c r="E116" s="31">
        <v>216.94</v>
      </c>
      <c r="F116" s="32">
        <v>0.75</v>
      </c>
      <c r="G116" s="29" t="str">
        <f t="shared" si="12"/>
        <v xml:space="preserve"> </v>
      </c>
      <c r="I116" s="30"/>
      <c r="J116" s="30"/>
      <c r="K116" s="108">
        <v>5250</v>
      </c>
      <c r="L116" s="31" t="str">
        <f t="shared" si="22"/>
        <v>±</v>
      </c>
      <c r="M116" s="59">
        <v>975</v>
      </c>
      <c r="N116" s="113">
        <f>$E116*$N$4^$F116</f>
        <v>29.5231821376185</v>
      </c>
      <c r="O116" s="31">
        <f>K116/1000</f>
        <v>5.25</v>
      </c>
      <c r="P116" s="108">
        <v>20</v>
      </c>
      <c r="Q116" s="31" t="str">
        <f t="shared" si="23"/>
        <v>±</v>
      </c>
      <c r="R116" s="59">
        <v>5</v>
      </c>
      <c r="S116" s="113">
        <f>$E116*$S$4^$F116</f>
        <v>0.16602105367104425</v>
      </c>
      <c r="T116" s="31">
        <f>O116/1000</f>
        <v>0.00525</v>
      </c>
      <c r="U116" s="113">
        <f>$E116*$U$4^$F116</f>
        <v>0.000933604993308731</v>
      </c>
      <c r="V116" s="31">
        <f>T116/1000</f>
        <v>5.2500000000000006E-06</v>
      </c>
      <c r="W116" s="160" t="s">
        <v>549</v>
      </c>
      <c r="AB116" s="28"/>
      <c r="AE116" s="30"/>
      <c r="AJ116" s="28"/>
      <c r="AK116" s="35"/>
      <c r="AN116" s="238"/>
      <c r="AO116" s="237"/>
      <c r="AP116"/>
      <c r="AQ116"/>
      <c r="AR116"/>
    </row>
    <row r="117" spans="1:44" s="29" customFormat="1" ht="15">
      <c r="A117" s="143" t="s">
        <v>70</v>
      </c>
      <c r="B117" s="28" t="s">
        <v>145</v>
      </c>
      <c r="C117" s="33" t="s">
        <v>367</v>
      </c>
      <c r="D117" s="28" t="s">
        <v>66</v>
      </c>
      <c r="E117" s="31"/>
      <c r="F117" s="32"/>
      <c r="G117" s="29" t="str">
        <f t="shared" si="12"/>
        <v xml:space="preserve"> </v>
      </c>
      <c r="I117" s="30"/>
      <c r="J117" s="30"/>
      <c r="K117" s="108">
        <v>0.625</v>
      </c>
      <c r="L117" s="31" t="str">
        <f t="shared" si="22"/>
        <v>±</v>
      </c>
      <c r="M117" s="59">
        <v>0.075</v>
      </c>
      <c r="N117" s="113"/>
      <c r="O117" s="31">
        <v>62.5</v>
      </c>
      <c r="P117" s="108">
        <v>66</v>
      </c>
      <c r="Q117" s="31" t="str">
        <f t="shared" si="23"/>
        <v>±</v>
      </c>
      <c r="R117" s="59">
        <v>4</v>
      </c>
      <c r="S117" s="113" t="s">
        <v>62</v>
      </c>
      <c r="T117" s="31">
        <v>0.625</v>
      </c>
      <c r="U117" s="113" t="s">
        <v>62</v>
      </c>
      <c r="V117" s="31">
        <v>0.625</v>
      </c>
      <c r="W117" s="160" t="s">
        <v>550</v>
      </c>
      <c r="AB117" s="28"/>
      <c r="AE117" s="30"/>
      <c r="AJ117" s="28"/>
      <c r="AK117" s="35"/>
      <c r="AN117" s="238"/>
      <c r="AO117" s="237"/>
      <c r="AP117"/>
      <c r="AQ117"/>
      <c r="AR117"/>
    </row>
    <row r="118" spans="1:44" s="29" customFormat="1" ht="15">
      <c r="A118" s="143" t="s">
        <v>70</v>
      </c>
      <c r="B118" s="28" t="s">
        <v>145</v>
      </c>
      <c r="C118" s="33" t="s">
        <v>366</v>
      </c>
      <c r="D118" s="28" t="s">
        <v>67</v>
      </c>
      <c r="E118" s="31">
        <v>202</v>
      </c>
      <c r="F118" s="32">
        <v>-0.25</v>
      </c>
      <c r="G118" s="29" t="str">
        <f t="shared" si="12"/>
        <v xml:space="preserve"> </v>
      </c>
      <c r="I118" s="30"/>
      <c r="J118" s="30"/>
      <c r="K118" s="108">
        <v>65</v>
      </c>
      <c r="L118" s="31"/>
      <c r="M118" s="59"/>
      <c r="N118" s="113">
        <f>$E118*$N$4^$F118</f>
        <v>392.7144300464207</v>
      </c>
      <c r="O118" s="31">
        <f>K118</f>
        <v>65</v>
      </c>
      <c r="P118" s="108">
        <v>632</v>
      </c>
      <c r="Q118" s="31" t="str">
        <f t="shared" si="23"/>
        <v>±</v>
      </c>
      <c r="R118" s="59">
        <v>56.8</v>
      </c>
      <c r="S118" s="113">
        <f>$E118*$S$4^$F118</f>
        <v>2208.3955301367687</v>
      </c>
      <c r="T118" s="31">
        <f>K118</f>
        <v>65</v>
      </c>
      <c r="U118" s="113">
        <f>$E118*$U$4^$F118</f>
        <v>12418.720689615539</v>
      </c>
      <c r="V118" s="31">
        <v>65</v>
      </c>
      <c r="W118" s="160">
        <v>49</v>
      </c>
      <c r="AB118" s="28"/>
      <c r="AE118" s="249"/>
      <c r="AJ118" s="28"/>
      <c r="AK118" s="35"/>
      <c r="AN118" s="238"/>
      <c r="AO118" s="237"/>
      <c r="AP118"/>
      <c r="AQ118"/>
      <c r="AR118"/>
    </row>
    <row r="119" spans="1:44" s="29" customFormat="1" ht="25.5">
      <c r="A119" s="143" t="s">
        <v>70</v>
      </c>
      <c r="B119" s="28" t="s">
        <v>145</v>
      </c>
      <c r="C119" s="33" t="s">
        <v>365</v>
      </c>
      <c r="D119" s="28" t="s">
        <v>527</v>
      </c>
      <c r="E119" s="31">
        <v>16.573886122913162</v>
      </c>
      <c r="F119" s="32">
        <v>-0.2027</v>
      </c>
      <c r="G119" s="29" t="str">
        <f t="shared" si="12"/>
        <v xml:space="preserve"> </v>
      </c>
      <c r="H119" s="89"/>
      <c r="I119" s="30"/>
      <c r="J119" s="29" t="s">
        <v>383</v>
      </c>
      <c r="K119" s="108">
        <v>7</v>
      </c>
      <c r="L119" s="31"/>
      <c r="M119" s="59"/>
      <c r="N119" s="113">
        <f>$E119*$N$4^$F119</f>
        <v>28.413385116686356</v>
      </c>
      <c r="O119" s="31">
        <v>7</v>
      </c>
      <c r="P119" s="108">
        <v>35</v>
      </c>
      <c r="Q119" s="31"/>
      <c r="R119" s="59"/>
      <c r="S119" s="113">
        <f>$E119*$S$4^$F119</f>
        <v>115.24523499914068</v>
      </c>
      <c r="T119" s="31">
        <v>7</v>
      </c>
      <c r="U119" s="113">
        <f>$E119*$U$4^$F119</f>
        <v>467.4368835484984</v>
      </c>
      <c r="V119" s="31">
        <v>7</v>
      </c>
      <c r="W119" s="160">
        <v>50</v>
      </c>
      <c r="AB119" s="28"/>
      <c r="AE119" s="30"/>
      <c r="AJ119" s="28"/>
      <c r="AK119" s="35"/>
      <c r="AN119" s="238"/>
      <c r="AO119" s="237"/>
      <c r="AP119"/>
      <c r="AQ119"/>
      <c r="AR119"/>
    </row>
    <row r="120" spans="1:44" s="29" customFormat="1" ht="28.5">
      <c r="A120" s="143" t="s">
        <v>70</v>
      </c>
      <c r="B120" s="28" t="s">
        <v>128</v>
      </c>
      <c r="C120" s="33" t="s">
        <v>389</v>
      </c>
      <c r="D120" s="28" t="s">
        <v>75</v>
      </c>
      <c r="E120" s="31" t="s">
        <v>62</v>
      </c>
      <c r="F120" s="31" t="s">
        <v>62</v>
      </c>
      <c r="G120" s="29" t="str">
        <f t="shared" si="12"/>
        <v xml:space="preserve"> </v>
      </c>
      <c r="H120" s="89"/>
      <c r="I120" s="30"/>
      <c r="J120" s="30" t="s">
        <v>528</v>
      </c>
      <c r="K120" s="108">
        <v>0.5545</v>
      </c>
      <c r="L120" s="31"/>
      <c r="M120" s="59"/>
      <c r="N120" s="113"/>
      <c r="O120" s="31"/>
      <c r="P120" s="108">
        <v>0.7</v>
      </c>
      <c r="Q120" s="31"/>
      <c r="R120" s="59"/>
      <c r="S120" s="113"/>
      <c r="T120" s="31"/>
      <c r="U120" s="113"/>
      <c r="V120" s="31"/>
      <c r="W120" s="160">
        <v>22</v>
      </c>
      <c r="AB120" s="28"/>
      <c r="AE120" s="30"/>
      <c r="AJ120" s="28"/>
      <c r="AK120" s="35"/>
      <c r="AN120" s="238"/>
      <c r="AO120" s="237"/>
      <c r="AP120"/>
      <c r="AQ120"/>
      <c r="AR120"/>
    </row>
    <row r="121" spans="1:44" s="29" customFormat="1" ht="25.5">
      <c r="A121" s="143" t="s">
        <v>70</v>
      </c>
      <c r="B121" s="28" t="s">
        <v>168</v>
      </c>
      <c r="C121" s="33" t="s">
        <v>362</v>
      </c>
      <c r="D121" s="28" t="s">
        <v>76</v>
      </c>
      <c r="E121" s="31" t="s">
        <v>62</v>
      </c>
      <c r="F121" s="31" t="s">
        <v>62</v>
      </c>
      <c r="G121" s="29" t="str">
        <f t="shared" si="12"/>
        <v xml:space="preserve"> </v>
      </c>
      <c r="H121" s="89"/>
      <c r="I121" s="30"/>
      <c r="J121" s="30" t="s">
        <v>387</v>
      </c>
      <c r="K121" s="108">
        <v>2388</v>
      </c>
      <c r="L121" s="31" t="str">
        <f aca="true" t="shared" si="24" ref="L121:L122">IF(COUNT(M121)=1,"±","")</f>
        <v>±</v>
      </c>
      <c r="M121" s="59">
        <v>75</v>
      </c>
      <c r="N121" s="113"/>
      <c r="O121" s="31"/>
      <c r="P121" s="108">
        <v>2248</v>
      </c>
      <c r="Q121" s="31" t="str">
        <f>IF(COUNT(R121)=1,"±","")</f>
        <v>±</v>
      </c>
      <c r="R121" s="59">
        <v>85</v>
      </c>
      <c r="S121" s="113"/>
      <c r="T121" s="31"/>
      <c r="U121" s="113"/>
      <c r="V121" s="31"/>
      <c r="W121" s="160">
        <v>22</v>
      </c>
      <c r="AB121" s="28"/>
      <c r="AJ121" s="28"/>
      <c r="AK121" s="35"/>
      <c r="AN121" s="238"/>
      <c r="AO121" s="237"/>
      <c r="AP121"/>
      <c r="AQ121"/>
      <c r="AR121"/>
    </row>
    <row r="122" spans="1:44" s="29" customFormat="1" ht="15">
      <c r="A122" s="143" t="s">
        <v>70</v>
      </c>
      <c r="B122" s="28" t="s">
        <v>168</v>
      </c>
      <c r="C122" s="33" t="s">
        <v>364</v>
      </c>
      <c r="D122" s="28" t="s">
        <v>66</v>
      </c>
      <c r="E122" s="31" t="s">
        <v>62</v>
      </c>
      <c r="F122" s="31" t="s">
        <v>62</v>
      </c>
      <c r="G122" s="29" t="str">
        <f t="shared" si="12"/>
        <v xml:space="preserve"> </v>
      </c>
      <c r="H122" s="89"/>
      <c r="I122" s="30"/>
      <c r="J122" s="30"/>
      <c r="K122" s="108">
        <v>12</v>
      </c>
      <c r="L122" s="31" t="str">
        <f t="shared" si="24"/>
        <v>±</v>
      </c>
      <c r="M122" s="59">
        <v>5.9</v>
      </c>
      <c r="N122" s="113"/>
      <c r="O122" s="31"/>
      <c r="P122" s="108">
        <v>82.1</v>
      </c>
      <c r="Q122" s="31" t="str">
        <f>IF(COUNT(R122)=1,"±","")</f>
        <v>±</v>
      </c>
      <c r="R122" s="59">
        <v>0.9</v>
      </c>
      <c r="S122" s="113"/>
      <c r="T122" s="31"/>
      <c r="U122" s="113"/>
      <c r="V122" s="31"/>
      <c r="W122" s="160">
        <v>22</v>
      </c>
      <c r="AB122" s="28"/>
      <c r="AE122" s="30"/>
      <c r="AJ122" s="28"/>
      <c r="AK122" s="35"/>
      <c r="AN122" s="238"/>
      <c r="AO122" s="237"/>
      <c r="AP122"/>
      <c r="AQ122"/>
      <c r="AR122"/>
    </row>
    <row r="123" spans="1:44" s="29" customFormat="1" ht="15">
      <c r="A123" s="143" t="s">
        <v>70</v>
      </c>
      <c r="B123" s="28" t="s">
        <v>128</v>
      </c>
      <c r="C123" s="33" t="s">
        <v>363</v>
      </c>
      <c r="D123" s="28" t="s">
        <v>73</v>
      </c>
      <c r="E123" s="31" t="s">
        <v>62</v>
      </c>
      <c r="F123" s="31" t="s">
        <v>62</v>
      </c>
      <c r="G123" s="29" t="str">
        <f t="shared" si="12"/>
        <v xml:space="preserve"> </v>
      </c>
      <c r="H123" s="89"/>
      <c r="I123" s="30"/>
      <c r="J123" s="30" t="s">
        <v>388</v>
      </c>
      <c r="K123" s="108">
        <v>55.9</v>
      </c>
      <c r="L123" s="31"/>
      <c r="M123" s="59"/>
      <c r="N123" s="113"/>
      <c r="O123" s="31"/>
      <c r="P123" s="108">
        <v>67.749136</v>
      </c>
      <c r="Q123" s="31"/>
      <c r="R123" s="59"/>
      <c r="S123" s="113"/>
      <c r="T123" s="31"/>
      <c r="U123" s="113"/>
      <c r="V123" s="31"/>
      <c r="W123" s="160">
        <v>22</v>
      </c>
      <c r="AB123" s="28"/>
      <c r="AE123" s="30"/>
      <c r="AJ123" s="28"/>
      <c r="AK123" s="35"/>
      <c r="AN123" s="238"/>
      <c r="AO123" s="237"/>
      <c r="AP123"/>
      <c r="AQ123"/>
      <c r="AR123"/>
    </row>
    <row r="124" spans="1:44" ht="15">
      <c r="A124" s="143" t="s">
        <v>70</v>
      </c>
      <c r="B124" s="28" t="s">
        <v>168</v>
      </c>
      <c r="C124" s="33" t="s">
        <v>361</v>
      </c>
      <c r="D124" s="28"/>
      <c r="E124" s="31" t="s">
        <v>62</v>
      </c>
      <c r="F124" s="31" t="s">
        <v>62</v>
      </c>
      <c r="G124" s="29" t="str">
        <f t="shared" si="12"/>
        <v xml:space="preserve"> </v>
      </c>
      <c r="H124" s="89"/>
      <c r="I124" s="30"/>
      <c r="J124" s="30" t="s">
        <v>74</v>
      </c>
      <c r="K124" s="108">
        <v>0.2533</v>
      </c>
      <c r="L124" s="31" t="str">
        <f>IF(COUNT(M124)=1,"±","")</f>
        <v/>
      </c>
      <c r="M124" s="59"/>
      <c r="N124" s="113"/>
      <c r="O124" s="31"/>
      <c r="P124" s="108">
        <v>0.38</v>
      </c>
      <c r="Q124" s="31" t="str">
        <f>IF(COUNT(R124)=1,"±","")</f>
        <v/>
      </c>
      <c r="R124" s="59"/>
      <c r="S124" s="113"/>
      <c r="T124" s="31"/>
      <c r="U124" s="113"/>
      <c r="V124" s="31"/>
      <c r="W124" s="160">
        <v>45</v>
      </c>
      <c r="AC124" s="29"/>
      <c r="AN124" s="238"/>
      <c r="AO124" s="237"/>
      <c r="AP124"/>
      <c r="AQ124"/>
      <c r="AR124"/>
    </row>
    <row r="125" spans="1:48" s="142" customFormat="1" ht="15">
      <c r="A125" s="166" t="s">
        <v>171</v>
      </c>
      <c r="B125" s="167"/>
      <c r="C125" s="168"/>
      <c r="D125" s="167"/>
      <c r="E125" s="178"/>
      <c r="F125" s="170"/>
      <c r="G125" s="171" t="str">
        <f t="shared" si="12"/>
        <v xml:space="preserve"> </v>
      </c>
      <c r="H125" s="171"/>
      <c r="I125" s="172"/>
      <c r="J125" s="172"/>
      <c r="K125" s="173"/>
      <c r="L125" s="169"/>
      <c r="M125" s="174"/>
      <c r="N125" s="175"/>
      <c r="O125" s="169"/>
      <c r="P125" s="173"/>
      <c r="Q125" s="169"/>
      <c r="R125" s="174"/>
      <c r="S125" s="175"/>
      <c r="T125" s="169"/>
      <c r="U125" s="175"/>
      <c r="V125" s="169"/>
      <c r="W125" s="176" t="s">
        <v>171</v>
      </c>
      <c r="X125" s="141"/>
      <c r="Y125" s="141"/>
      <c r="Z125" s="141"/>
      <c r="AA125" s="141"/>
      <c r="AB125" s="137"/>
      <c r="AC125" s="141"/>
      <c r="AD125" s="141"/>
      <c r="AE125" s="248"/>
      <c r="AF125" s="141"/>
      <c r="AG125" s="141"/>
      <c r="AH125" s="141"/>
      <c r="AI125" s="141"/>
      <c r="AJ125" s="137"/>
      <c r="AK125" s="177"/>
      <c r="AL125" s="141"/>
      <c r="AM125" s="141"/>
      <c r="AN125" s="244"/>
      <c r="AO125" s="245"/>
      <c r="AP125" s="140"/>
      <c r="AQ125" s="140"/>
      <c r="AR125" s="140"/>
      <c r="AS125" s="141"/>
      <c r="AT125" s="141"/>
      <c r="AU125" s="141"/>
      <c r="AV125" s="141"/>
    </row>
    <row r="126" spans="1:44" ht="15">
      <c r="A126" s="143" t="s">
        <v>171</v>
      </c>
      <c r="B126" s="28" t="s">
        <v>168</v>
      </c>
      <c r="C126" s="33" t="s">
        <v>323</v>
      </c>
      <c r="D126" s="28" t="s">
        <v>8</v>
      </c>
      <c r="E126" s="31"/>
      <c r="F126" s="32"/>
      <c r="G126" s="29" t="str">
        <f t="shared" si="12"/>
        <v xml:space="preserve"> </v>
      </c>
      <c r="H126" s="29"/>
      <c r="I126" s="30"/>
      <c r="J126" s="30" t="s">
        <v>422</v>
      </c>
      <c r="K126" s="108">
        <v>310</v>
      </c>
      <c r="L126" s="31" t="str">
        <f aca="true" t="shared" si="25" ref="L126:L157">IF(COUNT(M126)=1,"±","")</f>
        <v/>
      </c>
      <c r="M126" s="59"/>
      <c r="N126" s="113"/>
      <c r="O126" s="31"/>
      <c r="P126" s="108">
        <f>0.32</f>
        <v>0.32</v>
      </c>
      <c r="Q126" s="31" t="str">
        <f aca="true" t="shared" si="26" ref="Q126:Q157">IF(COUNT(R126)=1,"±","")</f>
        <v/>
      </c>
      <c r="R126" s="59"/>
      <c r="S126" s="113"/>
      <c r="T126" s="31"/>
      <c r="U126" s="113"/>
      <c r="V126" s="31"/>
      <c r="W126" s="160">
        <v>14</v>
      </c>
      <c r="AN126" s="238"/>
      <c r="AO126" s="237"/>
      <c r="AP126"/>
      <c r="AQ126"/>
      <c r="AR126"/>
    </row>
    <row r="127" spans="1:44" ht="15">
      <c r="A127" s="143" t="s">
        <v>171</v>
      </c>
      <c r="B127" s="28" t="s">
        <v>168</v>
      </c>
      <c r="C127" s="33" t="s">
        <v>323</v>
      </c>
      <c r="D127" s="28" t="s">
        <v>8</v>
      </c>
      <c r="E127" s="31">
        <v>0.0212</v>
      </c>
      <c r="F127" s="32">
        <v>0.85</v>
      </c>
      <c r="G127" s="29" t="str">
        <f t="shared" si="12"/>
        <v xml:space="preserve"> </v>
      </c>
      <c r="H127" s="29"/>
      <c r="I127" s="30"/>
      <c r="J127" s="30" t="s">
        <v>423</v>
      </c>
      <c r="K127" s="108">
        <f>$E127*($K$4*1000)^$F127</f>
        <v>278.3999769240754</v>
      </c>
      <c r="L127" s="31" t="str">
        <f t="shared" si="25"/>
        <v/>
      </c>
      <c r="M127" s="59"/>
      <c r="N127" s="113">
        <f>$E127*($N$4*1000)^$F127</f>
        <v>0.7846377430272323</v>
      </c>
      <c r="O127" s="31"/>
      <c r="P127" s="108">
        <f>$E127*($P$4*1000)^$F127</f>
        <v>0.27052746144814677</v>
      </c>
      <c r="Q127" s="31" t="str">
        <f t="shared" si="26"/>
        <v/>
      </c>
      <c r="R127" s="59"/>
      <c r="S127" s="115">
        <f>$E127*($S$4*1000)^$F127</f>
        <v>0.002211409622173816</v>
      </c>
      <c r="T127" s="31"/>
      <c r="U127" s="113">
        <f>$E127*($U$4*1000)^$F127</f>
        <v>6.232599133168657E-06</v>
      </c>
      <c r="V127" s="31"/>
      <c r="W127" s="160" t="s">
        <v>551</v>
      </c>
      <c r="AN127" s="238"/>
      <c r="AO127" s="237"/>
      <c r="AP127"/>
      <c r="AQ127"/>
      <c r="AR127"/>
    </row>
    <row r="128" spans="1:44" ht="15">
      <c r="A128" s="143" t="s">
        <v>171</v>
      </c>
      <c r="B128" s="28" t="s">
        <v>168</v>
      </c>
      <c r="C128" s="33" t="s">
        <v>167</v>
      </c>
      <c r="D128" s="28" t="s">
        <v>13</v>
      </c>
      <c r="E128" s="31"/>
      <c r="F128" s="32"/>
      <c r="G128" s="29" t="str">
        <f t="shared" si="12"/>
        <v xml:space="preserve"> </v>
      </c>
      <c r="H128" s="29"/>
      <c r="I128" s="30"/>
      <c r="J128" s="30" t="s">
        <v>424</v>
      </c>
      <c r="K128" s="108">
        <v>280</v>
      </c>
      <c r="L128" s="31" t="str">
        <f t="shared" si="25"/>
        <v/>
      </c>
      <c r="M128" s="59"/>
      <c r="N128" s="113"/>
      <c r="O128" s="31"/>
      <c r="P128" s="108">
        <v>0.34</v>
      </c>
      <c r="Q128" s="31" t="str">
        <f t="shared" si="26"/>
        <v/>
      </c>
      <c r="R128" s="59"/>
      <c r="S128" s="113"/>
      <c r="T128" s="31"/>
      <c r="U128" s="113"/>
      <c r="V128" s="31"/>
      <c r="W128" s="160">
        <v>14</v>
      </c>
      <c r="AN128" s="238"/>
      <c r="AO128" s="237"/>
      <c r="AP128"/>
      <c r="AQ128"/>
      <c r="AR128"/>
    </row>
    <row r="129" spans="1:44" ht="15">
      <c r="A129" s="143" t="s">
        <v>171</v>
      </c>
      <c r="B129" s="28" t="s">
        <v>168</v>
      </c>
      <c r="C129" s="33" t="s">
        <v>167</v>
      </c>
      <c r="D129" s="69" t="s">
        <v>13</v>
      </c>
      <c r="E129" s="67">
        <v>0.0218</v>
      </c>
      <c r="F129" s="68">
        <v>0.843</v>
      </c>
      <c r="G129" s="29" t="str">
        <f t="shared" si="12"/>
        <v xml:space="preserve"> </v>
      </c>
      <c r="H129" s="70"/>
      <c r="I129" s="30"/>
      <c r="J129" s="30" t="s">
        <v>425</v>
      </c>
      <c r="K129" s="108">
        <f>$E129*($K$4*1000)^$F129</f>
        <v>264.773271372469</v>
      </c>
      <c r="L129" s="31" t="str">
        <f t="shared" si="25"/>
        <v/>
      </c>
      <c r="M129" s="59"/>
      <c r="N129" s="113">
        <f>$E129*($N$4*1000)^$F129</f>
        <v>0.7832026375294002</v>
      </c>
      <c r="O129" s="31"/>
      <c r="P129" s="108">
        <f>$E129*($P$4*1000)^$F129</f>
        <v>0.2724110874846813</v>
      </c>
      <c r="Q129" s="31" t="str">
        <f t="shared" si="26"/>
        <v/>
      </c>
      <c r="R129" s="59"/>
      <c r="S129" s="115">
        <f>$E129*($S$4*1000)^$F129</f>
        <v>0.0023167231656480176</v>
      </c>
      <c r="T129" s="31"/>
      <c r="U129" s="113">
        <f>$E129*($U$4*1000)^$F129</f>
        <v>6.852896005535598E-06</v>
      </c>
      <c r="V129" s="31"/>
      <c r="W129" s="160">
        <v>55</v>
      </c>
      <c r="AC129" s="66"/>
      <c r="AN129" s="238"/>
      <c r="AO129" s="237"/>
      <c r="AP129"/>
      <c r="AQ129"/>
      <c r="AR129"/>
    </row>
    <row r="130" spans="1:44" ht="15">
      <c r="A130" s="143" t="s">
        <v>171</v>
      </c>
      <c r="B130" s="28" t="s">
        <v>168</v>
      </c>
      <c r="C130" s="151" t="s">
        <v>166</v>
      </c>
      <c r="D130" s="69" t="s">
        <v>52</v>
      </c>
      <c r="E130" s="67">
        <v>2.62</v>
      </c>
      <c r="F130" s="68">
        <v>0.17</v>
      </c>
      <c r="G130" s="29" t="str">
        <f t="shared" si="12"/>
        <v xml:space="preserve"> </v>
      </c>
      <c r="H130" s="70"/>
      <c r="I130" s="30"/>
      <c r="J130" s="30"/>
      <c r="K130" s="108">
        <f>$E130*K$4^$F130</f>
        <v>5.394708193481904</v>
      </c>
      <c r="L130" s="31" t="str">
        <f t="shared" si="25"/>
        <v/>
      </c>
      <c r="M130" s="59"/>
      <c r="N130" s="113">
        <f>$E130*N$4^$F130</f>
        <v>1.667124209006077</v>
      </c>
      <c r="O130" s="31"/>
      <c r="P130" s="108">
        <f>$E130*P$4^$F130</f>
        <v>1.3473374784604277</v>
      </c>
      <c r="Q130" s="31" t="str">
        <f t="shared" si="26"/>
        <v/>
      </c>
      <c r="R130" s="59"/>
      <c r="S130" s="113">
        <f>$E130*S$4^$F130</f>
        <v>0.5151906328524312</v>
      </c>
      <c r="T130" s="31"/>
      <c r="U130" s="113">
        <f>$E130*U$4^$F130</f>
        <v>0.15920912595776537</v>
      </c>
      <c r="V130" s="31"/>
      <c r="W130" s="160">
        <v>56</v>
      </c>
      <c r="AC130" s="66"/>
      <c r="AN130" s="238"/>
      <c r="AO130" s="237"/>
      <c r="AP130"/>
      <c r="AQ130"/>
      <c r="AR130"/>
    </row>
    <row r="131" spans="1:44" ht="15">
      <c r="A131" s="143" t="s">
        <v>171</v>
      </c>
      <c r="B131" s="28" t="s">
        <v>168</v>
      </c>
      <c r="C131" s="151" t="s">
        <v>165</v>
      </c>
      <c r="D131" s="69" t="s">
        <v>52</v>
      </c>
      <c r="E131" s="67">
        <v>8.147</v>
      </c>
      <c r="F131" s="68">
        <v>0.129</v>
      </c>
      <c r="G131" s="29" t="str">
        <f t="shared" si="12"/>
        <v xml:space="preserve"> </v>
      </c>
      <c r="H131" s="70"/>
      <c r="I131" s="30"/>
      <c r="J131" s="30"/>
      <c r="K131" s="108">
        <f>$E131*K$4^$F131</f>
        <v>14.093386538852762</v>
      </c>
      <c r="L131" s="31" t="str">
        <f t="shared" si="25"/>
        <v/>
      </c>
      <c r="M131" s="59"/>
      <c r="N131" s="113">
        <f>$E131*N$4^$F131</f>
        <v>5.781164983213616</v>
      </c>
      <c r="O131" s="31"/>
      <c r="P131" s="108">
        <f>$E131*P$4^$F131</f>
        <v>4.91847633055085</v>
      </c>
      <c r="Q131" s="31" t="str">
        <f t="shared" si="26"/>
        <v/>
      </c>
      <c r="R131" s="59"/>
      <c r="S131" s="113">
        <f>$E131*S$4^$F131</f>
        <v>2.371457596156723</v>
      </c>
      <c r="T131" s="31"/>
      <c r="U131" s="113">
        <f>$E131*U$4^$F131</f>
        <v>0.9727816360022434</v>
      </c>
      <c r="V131" s="31"/>
      <c r="W131" s="160">
        <v>57</v>
      </c>
      <c r="AC131" s="66"/>
      <c r="AN131" s="238"/>
      <c r="AO131" s="237"/>
      <c r="AP131"/>
      <c r="AQ131"/>
      <c r="AR131"/>
    </row>
    <row r="132" spans="1:44" ht="15">
      <c r="A132" s="143" t="s">
        <v>171</v>
      </c>
      <c r="B132" s="28" t="s">
        <v>168</v>
      </c>
      <c r="C132" s="151" t="s">
        <v>164</v>
      </c>
      <c r="D132" s="69" t="s">
        <v>52</v>
      </c>
      <c r="E132" s="67">
        <v>3.17</v>
      </c>
      <c r="F132" s="68">
        <v>0.18</v>
      </c>
      <c r="G132" s="29" t="str">
        <f t="shared" si="12"/>
        <v xml:space="preserve"> </v>
      </c>
      <c r="H132" s="70"/>
      <c r="I132" s="30"/>
      <c r="J132" s="30"/>
      <c r="K132" s="108">
        <f>$E132*K$4^$F132</f>
        <v>6.810467258959645</v>
      </c>
      <c r="L132" s="31" t="str">
        <f t="shared" si="25"/>
        <v/>
      </c>
      <c r="M132" s="59"/>
      <c r="N132" s="113">
        <f>$E132*N$4^$F132</f>
        <v>1.9641602125851918</v>
      </c>
      <c r="O132" s="31"/>
      <c r="P132" s="108">
        <f>$E132*P$4^$F132</f>
        <v>1.5676339539077373</v>
      </c>
      <c r="Q132" s="31" t="str">
        <f t="shared" si="26"/>
        <v/>
      </c>
      <c r="R132" s="59"/>
      <c r="S132" s="113">
        <f>$E132*S$4^$F132</f>
        <v>0.5664699930283544</v>
      </c>
      <c r="T132" s="31"/>
      <c r="U132" s="113">
        <f>$E132*U$4^$F132</f>
        <v>0.16337173054696832</v>
      </c>
      <c r="V132" s="31"/>
      <c r="W132" s="160">
        <v>56</v>
      </c>
      <c r="AC132" s="66"/>
      <c r="AN132" s="238"/>
      <c r="AO132" s="237"/>
      <c r="AP132"/>
      <c r="AQ132"/>
      <c r="AR132"/>
    </row>
    <row r="133" spans="1:44" ht="15">
      <c r="A133" s="143" t="s">
        <v>171</v>
      </c>
      <c r="B133" s="28" t="s">
        <v>168</v>
      </c>
      <c r="C133" s="151" t="s">
        <v>163</v>
      </c>
      <c r="D133" s="69" t="s">
        <v>52</v>
      </c>
      <c r="E133" s="67">
        <v>5.09</v>
      </c>
      <c r="F133" s="68">
        <v>0.14</v>
      </c>
      <c r="G133" s="29" t="str">
        <f t="shared" si="12"/>
        <v xml:space="preserve"> </v>
      </c>
      <c r="H133" s="70"/>
      <c r="I133" s="30"/>
      <c r="J133" s="30"/>
      <c r="K133" s="108">
        <f>$E133*K$4^$F133</f>
        <v>9.226383618723561</v>
      </c>
      <c r="L133" s="31" t="str">
        <f t="shared" si="25"/>
        <v/>
      </c>
      <c r="M133" s="59"/>
      <c r="N133" s="113">
        <f>$E133*N$4^$F133</f>
        <v>3.5077732182244254</v>
      </c>
      <c r="O133" s="31"/>
      <c r="P133" s="108">
        <f>$E133*P$4^$F133</f>
        <v>2.9434860487741266</v>
      </c>
      <c r="Q133" s="31" t="str">
        <f t="shared" si="26"/>
        <v/>
      </c>
      <c r="R133" s="59"/>
      <c r="S133" s="113">
        <f>$E133*S$4^$F133</f>
        <v>1.3336181822661766</v>
      </c>
      <c r="T133" s="31"/>
      <c r="U133" s="113">
        <f>$E133*U$4^$F133</f>
        <v>0.5070274916379017</v>
      </c>
      <c r="V133" s="31"/>
      <c r="W133" s="160">
        <v>56</v>
      </c>
      <c r="AC133" s="66"/>
      <c r="AN133" s="238"/>
      <c r="AO133" s="237"/>
      <c r="AP133"/>
      <c r="AQ133"/>
      <c r="AR133"/>
    </row>
    <row r="134" spans="1:44" ht="15">
      <c r="A134" s="143" t="s">
        <v>171</v>
      </c>
      <c r="B134" s="28" t="s">
        <v>168</v>
      </c>
      <c r="C134" s="151" t="s">
        <v>162</v>
      </c>
      <c r="D134" s="69" t="s">
        <v>146</v>
      </c>
      <c r="E134" s="67">
        <v>1852</v>
      </c>
      <c r="F134" s="68">
        <v>1.016</v>
      </c>
      <c r="G134" s="29" t="str">
        <f t="shared" si="12"/>
        <v xml:space="preserve"> </v>
      </c>
      <c r="H134" s="70"/>
      <c r="I134" s="30"/>
      <c r="J134" s="30"/>
      <c r="K134" s="108">
        <f>$E$135*K131^$F$135</f>
        <v>0</v>
      </c>
      <c r="L134" s="31" t="str">
        <f t="shared" si="25"/>
        <v/>
      </c>
      <c r="M134" s="59"/>
      <c r="N134" s="114">
        <f>$E$135*N131^$F$135</f>
        <v>0</v>
      </c>
      <c r="O134" s="71"/>
      <c r="P134" s="117">
        <f>$E$135*P131^$F$135</f>
        <v>0</v>
      </c>
      <c r="Q134" s="71" t="str">
        <f t="shared" si="26"/>
        <v/>
      </c>
      <c r="R134" s="83"/>
      <c r="S134" s="114">
        <f>$E$135*S131^$F$135</f>
        <v>0</v>
      </c>
      <c r="T134" s="71"/>
      <c r="U134" s="114">
        <f>$E$135*U131^$F$135</f>
        <v>0</v>
      </c>
      <c r="V134" s="31"/>
      <c r="W134" s="160">
        <v>57</v>
      </c>
      <c r="AC134" s="66"/>
      <c r="AN134" s="238"/>
      <c r="AO134" s="237"/>
      <c r="AP134"/>
      <c r="AQ134"/>
      <c r="AR134"/>
    </row>
    <row r="135" spans="1:44" ht="15">
      <c r="A135" s="143" t="s">
        <v>171</v>
      </c>
      <c r="B135" s="28" t="s">
        <v>168</v>
      </c>
      <c r="C135" s="151" t="s">
        <v>161</v>
      </c>
      <c r="D135" s="69" t="s">
        <v>11</v>
      </c>
      <c r="E135" s="67"/>
      <c r="F135" s="68"/>
      <c r="G135" s="29" t="str">
        <f t="shared" si="12"/>
        <v xml:space="preserve"> </v>
      </c>
      <c r="H135" s="70"/>
      <c r="I135" s="30"/>
      <c r="J135" s="30" t="s">
        <v>426</v>
      </c>
      <c r="K135" s="108">
        <v>1240</v>
      </c>
      <c r="L135" s="31" t="str">
        <f t="shared" si="25"/>
        <v/>
      </c>
      <c r="M135" s="59"/>
      <c r="N135" s="113"/>
      <c r="O135" s="31"/>
      <c r="P135" s="108">
        <v>1.3</v>
      </c>
      <c r="Q135" s="31" t="str">
        <f t="shared" si="26"/>
        <v/>
      </c>
      <c r="R135" s="59"/>
      <c r="S135" s="113"/>
      <c r="T135" s="31"/>
      <c r="U135" s="113"/>
      <c r="V135" s="31"/>
      <c r="W135" s="160">
        <v>14</v>
      </c>
      <c r="AN135" s="238"/>
      <c r="AO135" s="237"/>
      <c r="AP135"/>
      <c r="AQ135"/>
      <c r="AR135"/>
    </row>
    <row r="136" spans="1:44" ht="25.5">
      <c r="A136" s="143" t="s">
        <v>171</v>
      </c>
      <c r="B136" s="28" t="s">
        <v>168</v>
      </c>
      <c r="C136" s="151" t="s">
        <v>161</v>
      </c>
      <c r="D136" s="28" t="s">
        <v>11</v>
      </c>
      <c r="E136" s="31">
        <v>43.06</v>
      </c>
      <c r="F136" s="32">
        <v>0.77</v>
      </c>
      <c r="G136" s="29" t="str">
        <f t="shared" si="12"/>
        <v xml:space="preserve"> </v>
      </c>
      <c r="H136" s="29"/>
      <c r="I136" s="30"/>
      <c r="J136" s="30" t="s">
        <v>427</v>
      </c>
      <c r="K136" s="108">
        <f>$E136*K$4^$F136</f>
        <v>1134.486980659719</v>
      </c>
      <c r="L136" s="31" t="str">
        <f t="shared" si="25"/>
        <v/>
      </c>
      <c r="M136" s="59"/>
      <c r="N136" s="113">
        <f>$E136*N$4^$F136</f>
        <v>5.556476939763904</v>
      </c>
      <c r="O136" s="31"/>
      <c r="P136" s="108">
        <f>$E136*P$4^$F136</f>
        <v>2.117713095196638</v>
      </c>
      <c r="Q136" s="31" t="str">
        <f t="shared" si="26"/>
        <v/>
      </c>
      <c r="R136" s="59"/>
      <c r="S136" s="113">
        <f>$E136*S$4^$F136</f>
        <v>0.02721444715405561</v>
      </c>
      <c r="T136" s="31"/>
      <c r="U136" s="113">
        <f>$E136*U$4^$F136</f>
        <v>0.00013329059796878326</v>
      </c>
      <c r="V136" s="31"/>
      <c r="W136" s="160">
        <v>58</v>
      </c>
      <c r="AN136" s="238"/>
      <c r="AO136" s="237"/>
      <c r="AP136"/>
      <c r="AQ136"/>
      <c r="AR136"/>
    </row>
    <row r="137" spans="1:44" ht="15">
      <c r="A137" s="143" t="s">
        <v>171</v>
      </c>
      <c r="B137" s="28" t="s">
        <v>168</v>
      </c>
      <c r="C137" s="152" t="s">
        <v>160</v>
      </c>
      <c r="D137" s="69" t="s">
        <v>11</v>
      </c>
      <c r="E137" s="67"/>
      <c r="F137" s="68"/>
      <c r="G137" s="29" t="str">
        <f t="shared" si="12"/>
        <v xml:space="preserve"> </v>
      </c>
      <c r="H137" s="70"/>
      <c r="I137" s="30"/>
      <c r="J137" s="30" t="s">
        <v>428</v>
      </c>
      <c r="K137" s="108">
        <v>700</v>
      </c>
      <c r="L137" s="31" t="str">
        <f t="shared" si="25"/>
        <v/>
      </c>
      <c r="M137" s="59"/>
      <c r="N137" s="113"/>
      <c r="O137" s="31"/>
      <c r="P137" s="118">
        <v>0.8</v>
      </c>
      <c r="Q137" s="31" t="str">
        <f t="shared" si="26"/>
        <v/>
      </c>
      <c r="R137" s="59"/>
      <c r="S137" s="113"/>
      <c r="T137" s="31"/>
      <c r="U137" s="113"/>
      <c r="V137" s="31"/>
      <c r="W137" s="160">
        <v>55</v>
      </c>
      <c r="AC137" s="66"/>
      <c r="AN137" s="238"/>
      <c r="AO137" s="237"/>
      <c r="AP137"/>
      <c r="AQ137"/>
      <c r="AR137"/>
    </row>
    <row r="138" spans="1:44" ht="25.5">
      <c r="A138" s="143" t="s">
        <v>171</v>
      </c>
      <c r="B138" s="28" t="s">
        <v>168</v>
      </c>
      <c r="C138" s="152" t="s">
        <v>160</v>
      </c>
      <c r="D138" s="69" t="s">
        <v>11</v>
      </c>
      <c r="E138" s="67">
        <v>0.0845</v>
      </c>
      <c r="F138" s="68">
        <v>0.802</v>
      </c>
      <c r="G138" s="29" t="str">
        <f t="shared" si="12"/>
        <v xml:space="preserve"> </v>
      </c>
      <c r="H138" s="70"/>
      <c r="I138" s="30"/>
      <c r="J138" s="30" t="s">
        <v>429</v>
      </c>
      <c r="K138" s="108">
        <f>$E138*(K$4*1000)^$F138</f>
        <v>649.569069643138</v>
      </c>
      <c r="L138" s="31" t="str">
        <f t="shared" si="25"/>
        <v/>
      </c>
      <c r="M138" s="59"/>
      <c r="N138" s="113">
        <f>$E138*(N$4*1000)^$F138</f>
        <v>2.5505000538760823</v>
      </c>
      <c r="O138" s="31"/>
      <c r="P138" s="108">
        <f>$E138*(P$4*1000)^$F138</f>
        <v>0.9338621326522359</v>
      </c>
      <c r="Q138" s="31" t="str">
        <f t="shared" si="26"/>
        <v/>
      </c>
      <c r="R138" s="59"/>
      <c r="S138" s="113">
        <f>$E138*(S$4*1000)^$F138</f>
        <v>0.010014409288908498</v>
      </c>
      <c r="T138" s="31"/>
      <c r="U138" s="113">
        <f>$E138*(U$4*1000)^$F138</f>
        <v>3.932107088308627E-05</v>
      </c>
      <c r="V138" s="31"/>
      <c r="W138" s="160">
        <v>55</v>
      </c>
      <c r="AC138" s="66"/>
      <c r="AN138" s="238"/>
      <c r="AO138" s="237"/>
      <c r="AP138"/>
      <c r="AQ138"/>
      <c r="AR138"/>
    </row>
    <row r="139" spans="1:44" ht="15">
      <c r="A139" s="143" t="s">
        <v>171</v>
      </c>
      <c r="B139" s="28" t="s">
        <v>168</v>
      </c>
      <c r="C139" s="33" t="s">
        <v>324</v>
      </c>
      <c r="D139" s="28"/>
      <c r="E139" s="31">
        <v>188000</v>
      </c>
      <c r="F139" s="32">
        <v>0.62</v>
      </c>
      <c r="G139" s="29" t="str">
        <f aca="true" t="shared" si="27" ref="G139:G202">IF(H139=""," ","+/-")</f>
        <v xml:space="preserve"> </v>
      </c>
      <c r="H139" s="29"/>
      <c r="I139" s="30"/>
      <c r="J139" s="30"/>
      <c r="K139" s="108">
        <f aca="true" t="shared" si="28" ref="K139:K150">$E139*K$4^$F139</f>
        <v>2618898.301995409</v>
      </c>
      <c r="L139" s="31" t="str">
        <f t="shared" si="25"/>
        <v/>
      </c>
      <c r="M139" s="59"/>
      <c r="N139" s="113">
        <f aca="true" t="shared" si="29" ref="N139:N150">$E139*N$4^$F139</f>
        <v>36150.86006669677</v>
      </c>
      <c r="O139" s="31"/>
      <c r="P139" s="108">
        <f aca="true" t="shared" si="30" ref="P139:P150">$E139*P$4^$F139</f>
        <v>16626.331930689623</v>
      </c>
      <c r="Q139" s="31" t="str">
        <f t="shared" si="26"/>
        <v/>
      </c>
      <c r="R139" s="59"/>
      <c r="S139" s="113">
        <f aca="true" t="shared" si="31" ref="S139:S150">$E139*S$4^$F139</f>
        <v>499.0207838792902</v>
      </c>
      <c r="T139" s="31"/>
      <c r="U139" s="113">
        <f aca="true" t="shared" si="32" ref="U139:U150">$E139*U$4^$F139</f>
        <v>6.8884043777676975</v>
      </c>
      <c r="V139" s="31"/>
      <c r="W139" s="160" t="s">
        <v>552</v>
      </c>
      <c r="AN139" s="238"/>
      <c r="AO139" s="237"/>
      <c r="AP139"/>
      <c r="AQ139"/>
      <c r="AR139"/>
    </row>
    <row r="140" spans="1:44" ht="15">
      <c r="A140" s="143" t="s">
        <v>171</v>
      </c>
      <c r="B140" s="28" t="s">
        <v>168</v>
      </c>
      <c r="C140" s="33" t="s">
        <v>325</v>
      </c>
      <c r="D140" s="28"/>
      <c r="E140" s="31">
        <f>9.53*10^4*2</f>
        <v>190600</v>
      </c>
      <c r="F140" s="32">
        <v>0.62</v>
      </c>
      <c r="G140" s="29" t="str">
        <f t="shared" si="27"/>
        <v xml:space="preserve"> </v>
      </c>
      <c r="H140" s="29"/>
      <c r="I140" s="30"/>
      <c r="J140" s="30"/>
      <c r="K140" s="108">
        <f t="shared" si="28"/>
        <v>2655117.108299601</v>
      </c>
      <c r="L140" s="31" t="str">
        <f t="shared" si="25"/>
        <v/>
      </c>
      <c r="M140" s="59"/>
      <c r="N140" s="113">
        <f t="shared" si="29"/>
        <v>36650.81876974683</v>
      </c>
      <c r="O140" s="31"/>
      <c r="P140" s="108">
        <f t="shared" si="30"/>
        <v>16856.27056377363</v>
      </c>
      <c r="Q140" s="31" t="str">
        <f t="shared" si="26"/>
        <v/>
      </c>
      <c r="R140" s="59"/>
      <c r="S140" s="113">
        <f t="shared" si="31"/>
        <v>505.9221351457059</v>
      </c>
      <c r="T140" s="31"/>
      <c r="U140" s="113">
        <f t="shared" si="32"/>
        <v>6.983669544694272</v>
      </c>
      <c r="V140" s="31"/>
      <c r="W140" s="160">
        <v>59</v>
      </c>
      <c r="AN140" s="238"/>
      <c r="AO140" s="237"/>
      <c r="AP140"/>
      <c r="AQ140"/>
      <c r="AR140"/>
    </row>
    <row r="141" spans="1:44" ht="15">
      <c r="A141" s="143" t="s">
        <v>171</v>
      </c>
      <c r="B141" s="28" t="s">
        <v>168</v>
      </c>
      <c r="C141" s="33" t="s">
        <v>159</v>
      </c>
      <c r="D141" s="28"/>
      <c r="E141" s="31">
        <f>3.24*10^4</f>
        <v>32400.000000000004</v>
      </c>
      <c r="F141" s="32">
        <v>-0.32</v>
      </c>
      <c r="G141" s="29" t="str">
        <f t="shared" si="27"/>
        <v xml:space="preserve"> </v>
      </c>
      <c r="H141" s="29"/>
      <c r="I141" s="30"/>
      <c r="J141" s="30"/>
      <c r="K141" s="108">
        <f t="shared" si="28"/>
        <v>8319.814387108443</v>
      </c>
      <c r="L141" s="31" t="str">
        <f t="shared" si="25"/>
        <v/>
      </c>
      <c r="M141" s="59"/>
      <c r="N141" s="113">
        <f t="shared" si="29"/>
        <v>75877.60902472147</v>
      </c>
      <c r="O141" s="31"/>
      <c r="P141" s="108">
        <f t="shared" si="30"/>
        <v>113296.21771273403</v>
      </c>
      <c r="Q141" s="31" t="str">
        <f t="shared" si="26"/>
        <v/>
      </c>
      <c r="R141" s="59"/>
      <c r="S141" s="113">
        <f t="shared" si="31"/>
        <v>692012.0189495579</v>
      </c>
      <c r="T141" s="31"/>
      <c r="U141" s="113">
        <f t="shared" si="32"/>
        <v>6311224.622465641</v>
      </c>
      <c r="V141" s="31"/>
      <c r="W141" s="160">
        <v>59</v>
      </c>
      <c r="AN141" s="238"/>
      <c r="AO141" s="237"/>
      <c r="AP141"/>
      <c r="AQ141"/>
      <c r="AR141"/>
    </row>
    <row r="142" spans="1:44" ht="15">
      <c r="A142" s="143" t="s">
        <v>171</v>
      </c>
      <c r="B142" s="28" t="s">
        <v>168</v>
      </c>
      <c r="C142" s="33" t="s">
        <v>158</v>
      </c>
      <c r="D142" s="28" t="s">
        <v>154</v>
      </c>
      <c r="E142" s="31">
        <v>2809</v>
      </c>
      <c r="F142" s="32">
        <v>-0.15</v>
      </c>
      <c r="G142" s="29" t="str">
        <f t="shared" si="27"/>
        <v xml:space="preserve"> </v>
      </c>
      <c r="H142" s="29"/>
      <c r="I142" s="30"/>
      <c r="J142" s="30"/>
      <c r="K142" s="108">
        <f t="shared" si="28"/>
        <v>1485.2071564444036</v>
      </c>
      <c r="L142" s="31" t="str">
        <f t="shared" si="25"/>
        <v/>
      </c>
      <c r="M142" s="59"/>
      <c r="N142" s="113">
        <f t="shared" si="29"/>
        <v>4185.882499114723</v>
      </c>
      <c r="O142" s="31"/>
      <c r="P142" s="108">
        <f t="shared" si="30"/>
        <v>5051.231116067405</v>
      </c>
      <c r="Q142" s="31" t="str">
        <f t="shared" si="26"/>
        <v/>
      </c>
      <c r="R142" s="59"/>
      <c r="S142" s="113">
        <f t="shared" si="31"/>
        <v>11797.41978778353</v>
      </c>
      <c r="T142" s="31"/>
      <c r="U142" s="113">
        <f t="shared" si="32"/>
        <v>33249.64656285061</v>
      </c>
      <c r="V142" s="31"/>
      <c r="W142" s="160">
        <v>59</v>
      </c>
      <c r="AN142" s="238"/>
      <c r="AO142" s="237"/>
      <c r="AP142"/>
      <c r="AQ142"/>
      <c r="AR142"/>
    </row>
    <row r="143" spans="1:44" ht="15">
      <c r="A143" s="143" t="s">
        <v>171</v>
      </c>
      <c r="B143" s="28" t="s">
        <v>168</v>
      </c>
      <c r="C143" s="33" t="s">
        <v>157</v>
      </c>
      <c r="D143" s="28" t="s">
        <v>13</v>
      </c>
      <c r="E143" s="31">
        <v>0.137</v>
      </c>
      <c r="F143" s="32">
        <v>0.85</v>
      </c>
      <c r="G143" s="29" t="str">
        <f t="shared" si="27"/>
        <v xml:space="preserve"> </v>
      </c>
      <c r="H143" s="29"/>
      <c r="I143" s="30"/>
      <c r="J143" s="30"/>
      <c r="K143" s="108">
        <f t="shared" si="28"/>
        <v>5.070536358242021</v>
      </c>
      <c r="L143" s="31" t="str">
        <f t="shared" si="25"/>
        <v/>
      </c>
      <c r="M143" s="59"/>
      <c r="N143" s="113">
        <f t="shared" si="29"/>
        <v>0.014290713124425135</v>
      </c>
      <c r="O143" s="31"/>
      <c r="P143" s="108">
        <f t="shared" si="30"/>
        <v>0.004927153171244107</v>
      </c>
      <c r="Q143" s="31" t="str">
        <f t="shared" si="26"/>
        <v/>
      </c>
      <c r="R143" s="59"/>
      <c r="S143" s="113">
        <f t="shared" si="31"/>
        <v>4.0276701945476705E-05</v>
      </c>
      <c r="T143" s="31"/>
      <c r="U143" s="113">
        <f t="shared" si="32"/>
        <v>1.1351516929075752E-07</v>
      </c>
      <c r="V143" s="31"/>
      <c r="W143" s="160" t="s">
        <v>553</v>
      </c>
      <c r="AN143" s="238"/>
      <c r="AO143" s="237"/>
      <c r="AP143"/>
      <c r="AQ143"/>
      <c r="AR143"/>
    </row>
    <row r="144" spans="1:44" ht="15">
      <c r="A144" s="143" t="s">
        <v>171</v>
      </c>
      <c r="B144" s="28" t="s">
        <v>168</v>
      </c>
      <c r="C144" s="33" t="s">
        <v>156</v>
      </c>
      <c r="D144" s="28" t="s">
        <v>154</v>
      </c>
      <c r="E144" s="31">
        <v>8371</v>
      </c>
      <c r="F144" s="32">
        <v>0.73</v>
      </c>
      <c r="G144" s="29" t="str">
        <f t="shared" si="27"/>
        <v xml:space="preserve"> </v>
      </c>
      <c r="H144" s="29"/>
      <c r="I144" s="30"/>
      <c r="J144" s="30"/>
      <c r="K144" s="108">
        <f t="shared" si="28"/>
        <v>186079.6631217423</v>
      </c>
      <c r="L144" s="31" t="str">
        <f t="shared" si="25"/>
        <v/>
      </c>
      <c r="M144" s="59"/>
      <c r="N144" s="113">
        <f t="shared" si="29"/>
        <v>1201.4312143189698</v>
      </c>
      <c r="O144" s="31"/>
      <c r="P144" s="108">
        <f t="shared" si="30"/>
        <v>481.42566476729195</v>
      </c>
      <c r="Q144" s="31" t="str">
        <f t="shared" si="26"/>
        <v/>
      </c>
      <c r="R144" s="59"/>
      <c r="S144" s="113">
        <f t="shared" si="31"/>
        <v>7.75709144419284</v>
      </c>
      <c r="T144" s="31"/>
      <c r="U144" s="113">
        <f t="shared" si="32"/>
        <v>0.050083988959516525</v>
      </c>
      <c r="V144" s="31"/>
      <c r="W144" s="160">
        <v>59</v>
      </c>
      <c r="AN144" s="238"/>
      <c r="AO144" s="237"/>
      <c r="AP144"/>
      <c r="AQ144"/>
      <c r="AR144"/>
    </row>
    <row r="145" spans="1:44" ht="15">
      <c r="A145" s="143" t="s">
        <v>171</v>
      </c>
      <c r="B145" s="28" t="s">
        <v>168</v>
      </c>
      <c r="C145" s="33" t="s">
        <v>155</v>
      </c>
      <c r="D145" s="28" t="s">
        <v>154</v>
      </c>
      <c r="E145" s="31">
        <v>0.086</v>
      </c>
      <c r="F145" s="32">
        <v>0.18</v>
      </c>
      <c r="G145" s="29" t="str">
        <f t="shared" si="27"/>
        <v xml:space="preserve"> </v>
      </c>
      <c r="H145" s="29"/>
      <c r="I145" s="30"/>
      <c r="J145" s="30"/>
      <c r="K145" s="108">
        <f t="shared" si="28"/>
        <v>0.18476346506956765</v>
      </c>
      <c r="L145" s="31" t="str">
        <f t="shared" si="25"/>
        <v/>
      </c>
      <c r="M145" s="59"/>
      <c r="N145" s="113">
        <f t="shared" si="29"/>
        <v>0.05328636538874652</v>
      </c>
      <c r="O145" s="31"/>
      <c r="P145" s="108">
        <f t="shared" si="30"/>
        <v>0.04252887067383767</v>
      </c>
      <c r="Q145" s="31" t="str">
        <f t="shared" si="26"/>
        <v/>
      </c>
      <c r="R145" s="59"/>
      <c r="S145" s="113">
        <f t="shared" si="31"/>
        <v>0.015367955646826019</v>
      </c>
      <c r="T145" s="31"/>
      <c r="U145" s="113">
        <f t="shared" si="32"/>
        <v>0.004432166822409866</v>
      </c>
      <c r="V145" s="31"/>
      <c r="W145" s="160">
        <v>59</v>
      </c>
      <c r="AN145" s="238"/>
      <c r="AO145" s="237"/>
      <c r="AP145"/>
      <c r="AQ145"/>
      <c r="AR145"/>
    </row>
    <row r="146" spans="1:44" ht="15">
      <c r="A146" s="143" t="s">
        <v>171</v>
      </c>
      <c r="B146" s="28" t="s">
        <v>168</v>
      </c>
      <c r="C146" s="33" t="s">
        <v>153</v>
      </c>
      <c r="D146" s="28" t="s">
        <v>52</v>
      </c>
      <c r="E146" s="31">
        <v>14.33</v>
      </c>
      <c r="F146" s="32">
        <v>0.1</v>
      </c>
      <c r="G146" s="29" t="str">
        <f t="shared" si="27"/>
        <v xml:space="preserve"> </v>
      </c>
      <c r="H146" s="29"/>
      <c r="I146" s="30"/>
      <c r="J146" s="30"/>
      <c r="K146" s="108">
        <f t="shared" si="28"/>
        <v>21.915732678346004</v>
      </c>
      <c r="L146" s="31" t="str">
        <f t="shared" si="25"/>
        <v/>
      </c>
      <c r="M146" s="59"/>
      <c r="N146" s="113">
        <f t="shared" si="29"/>
        <v>10.983885433975043</v>
      </c>
      <c r="O146" s="31"/>
      <c r="P146" s="108">
        <f t="shared" si="30"/>
        <v>9.690567030763438</v>
      </c>
      <c r="Q146" s="31" t="str">
        <f t="shared" si="26"/>
        <v/>
      </c>
      <c r="R146" s="59"/>
      <c r="S146" s="113">
        <f t="shared" si="31"/>
        <v>5.504983155132843</v>
      </c>
      <c r="T146" s="31"/>
      <c r="U146" s="113">
        <f t="shared" si="32"/>
        <v>2.7590272786857626</v>
      </c>
      <c r="V146" s="31"/>
      <c r="W146" s="160">
        <v>59</v>
      </c>
      <c r="AN146" s="238"/>
      <c r="AO146" s="237"/>
      <c r="AP146"/>
      <c r="AQ146"/>
      <c r="AR146"/>
    </row>
    <row r="147" spans="1:44" ht="15">
      <c r="A147" s="143" t="s">
        <v>171</v>
      </c>
      <c r="B147" s="28" t="s">
        <v>168</v>
      </c>
      <c r="C147" s="33" t="s">
        <v>152</v>
      </c>
      <c r="D147" s="28" t="s">
        <v>52</v>
      </c>
      <c r="E147" s="31">
        <v>0.06</v>
      </c>
      <c r="F147" s="32">
        <v>0.02</v>
      </c>
      <c r="G147" s="29" t="str">
        <f t="shared" si="27"/>
        <v xml:space="preserve"> </v>
      </c>
      <c r="H147" s="29"/>
      <c r="I147" s="30"/>
      <c r="J147" s="30"/>
      <c r="K147" s="108">
        <f t="shared" si="28"/>
        <v>0.06532105812469123</v>
      </c>
      <c r="L147" s="31" t="str">
        <f t="shared" si="25"/>
        <v/>
      </c>
      <c r="M147" s="59"/>
      <c r="N147" s="113">
        <f t="shared" si="29"/>
        <v>0.05689226328401088</v>
      </c>
      <c r="O147" s="31"/>
      <c r="P147" s="108">
        <f t="shared" si="30"/>
        <v>0.055484522174171165</v>
      </c>
      <c r="Q147" s="31" t="str">
        <f t="shared" si="26"/>
        <v/>
      </c>
      <c r="R147" s="59"/>
      <c r="S147" s="113">
        <f t="shared" si="31"/>
        <v>0.04955108987056863</v>
      </c>
      <c r="T147" s="31"/>
      <c r="U147" s="113">
        <f t="shared" si="32"/>
        <v>0.04315719511990684</v>
      </c>
      <c r="V147" s="31"/>
      <c r="W147" s="160">
        <v>59</v>
      </c>
      <c r="AN147" s="238"/>
      <c r="AO147" s="237"/>
      <c r="AP147"/>
      <c r="AQ147"/>
      <c r="AR147"/>
    </row>
    <row r="148" spans="1:44" ht="15">
      <c r="A148" s="143" t="s">
        <v>171</v>
      </c>
      <c r="B148" s="28" t="s">
        <v>168</v>
      </c>
      <c r="C148" s="33" t="s">
        <v>151</v>
      </c>
      <c r="D148" s="28" t="s">
        <v>148</v>
      </c>
      <c r="E148" s="31">
        <v>0.046</v>
      </c>
      <c r="F148" s="32">
        <v>0.12</v>
      </c>
      <c r="G148" s="29" t="str">
        <f t="shared" si="27"/>
        <v xml:space="preserve"> </v>
      </c>
      <c r="H148" s="29"/>
      <c r="I148" s="30"/>
      <c r="J148" s="30"/>
      <c r="K148" s="108">
        <f t="shared" si="28"/>
        <v>0.07658956386818094</v>
      </c>
      <c r="L148" s="31" t="str">
        <f t="shared" si="25"/>
        <v/>
      </c>
      <c r="M148" s="59"/>
      <c r="N148" s="113">
        <f t="shared" si="29"/>
        <v>0.033432557212830345</v>
      </c>
      <c r="O148" s="31"/>
      <c r="P148" s="108">
        <f t="shared" si="30"/>
        <v>0.028766129494928544</v>
      </c>
      <c r="Q148" s="31" t="str">
        <f t="shared" si="26"/>
        <v/>
      </c>
      <c r="R148" s="59"/>
      <c r="S148" s="113">
        <f t="shared" si="31"/>
        <v>0.0145938405356756</v>
      </c>
      <c r="T148" s="31"/>
      <c r="U148" s="113">
        <f t="shared" si="32"/>
        <v>0.006370442447010706</v>
      </c>
      <c r="V148" s="31"/>
      <c r="W148" s="160">
        <v>59</v>
      </c>
      <c r="AN148" s="238"/>
      <c r="AO148" s="237"/>
      <c r="AP148"/>
      <c r="AQ148"/>
      <c r="AR148"/>
    </row>
    <row r="149" spans="1:44" ht="15">
      <c r="A149" s="143" t="s">
        <v>171</v>
      </c>
      <c r="B149" s="28" t="s">
        <v>168</v>
      </c>
      <c r="C149" s="33" t="s">
        <v>150</v>
      </c>
      <c r="D149" s="28" t="s">
        <v>148</v>
      </c>
      <c r="E149" s="31">
        <v>4284</v>
      </c>
      <c r="F149" s="32">
        <v>0.68</v>
      </c>
      <c r="G149" s="29" t="str">
        <f t="shared" si="27"/>
        <v xml:space="preserve"> </v>
      </c>
      <c r="H149" s="29"/>
      <c r="I149" s="30"/>
      <c r="J149" s="30"/>
      <c r="K149" s="108">
        <f t="shared" si="28"/>
        <v>77004.50427179263</v>
      </c>
      <c r="L149" s="31" t="str">
        <f t="shared" si="25"/>
        <v/>
      </c>
      <c r="M149" s="59"/>
      <c r="N149" s="113">
        <f t="shared" si="29"/>
        <v>702.289425751033</v>
      </c>
      <c r="O149" s="31"/>
      <c r="P149" s="108">
        <f t="shared" si="30"/>
        <v>299.60555350700776</v>
      </c>
      <c r="Q149" s="31" t="str">
        <f t="shared" si="26"/>
        <v/>
      </c>
      <c r="R149" s="59"/>
      <c r="S149" s="113">
        <f t="shared" si="31"/>
        <v>6.404955686499793</v>
      </c>
      <c r="T149" s="31"/>
      <c r="U149" s="113">
        <f t="shared" si="32"/>
        <v>0.058413890116820785</v>
      </c>
      <c r="V149" s="31"/>
      <c r="W149" s="160">
        <v>59</v>
      </c>
      <c r="AN149" s="238"/>
      <c r="AO149" s="237"/>
      <c r="AP149"/>
      <c r="AQ149"/>
      <c r="AR149"/>
    </row>
    <row r="150" spans="1:44" ht="15">
      <c r="A150" s="143" t="s">
        <v>171</v>
      </c>
      <c r="B150" s="28" t="s">
        <v>168</v>
      </c>
      <c r="C150" s="33" t="s">
        <v>149</v>
      </c>
      <c r="D150" s="28" t="s">
        <v>148</v>
      </c>
      <c r="E150" s="31">
        <v>1472</v>
      </c>
      <c r="F150" s="32">
        <v>-0.2</v>
      </c>
      <c r="G150" s="29" t="str">
        <f t="shared" si="27"/>
        <v xml:space="preserve"> </v>
      </c>
      <c r="H150" s="29"/>
      <c r="I150" s="30"/>
      <c r="J150" s="30"/>
      <c r="K150" s="108">
        <f t="shared" si="28"/>
        <v>629.3441534546694</v>
      </c>
      <c r="L150" s="31" t="str">
        <f t="shared" si="25"/>
        <v/>
      </c>
      <c r="M150" s="59"/>
      <c r="N150" s="113">
        <f t="shared" si="29"/>
        <v>2505.4642023622446</v>
      </c>
      <c r="O150" s="31"/>
      <c r="P150" s="108">
        <f t="shared" si="30"/>
        <v>3218.8579456890106</v>
      </c>
      <c r="Q150" s="31" t="str">
        <f t="shared" si="26"/>
        <v/>
      </c>
      <c r="R150" s="59"/>
      <c r="S150" s="113">
        <f t="shared" si="31"/>
        <v>9974.43264525508</v>
      </c>
      <c r="T150" s="31"/>
      <c r="U150" s="113">
        <f t="shared" si="32"/>
        <v>39708.93158278935</v>
      </c>
      <c r="V150" s="31"/>
      <c r="W150" s="160">
        <v>59</v>
      </c>
      <c r="AN150" s="238"/>
      <c r="AO150" s="237"/>
      <c r="AP150"/>
      <c r="AQ150"/>
      <c r="AR150"/>
    </row>
    <row r="151" spans="1:44" ht="15">
      <c r="A151" s="143" t="s">
        <v>171</v>
      </c>
      <c r="B151" s="28" t="s">
        <v>168</v>
      </c>
      <c r="C151" s="33" t="s">
        <v>147</v>
      </c>
      <c r="D151" s="28" t="s">
        <v>146</v>
      </c>
      <c r="E151" s="31">
        <v>61</v>
      </c>
      <c r="F151" s="32">
        <v>0.11</v>
      </c>
      <c r="G151" s="29" t="str">
        <f t="shared" si="27"/>
        <v xml:space="preserve"> </v>
      </c>
      <c r="H151" s="29"/>
      <c r="I151" s="30"/>
      <c r="J151" s="30"/>
      <c r="K151" s="108">
        <f>$E151*($K$4*1000)^$F151</f>
        <v>208.10888358055382</v>
      </c>
      <c r="L151" s="31" t="str">
        <f t="shared" si="25"/>
        <v/>
      </c>
      <c r="M151" s="59"/>
      <c r="N151" s="113">
        <f>$E151*($N$4*1000)^$F151</f>
        <v>97.33983806467143</v>
      </c>
      <c r="O151" s="31"/>
      <c r="P151" s="108">
        <f>$E151*($P$4*1000)^$F151</f>
        <v>84.8092328029354</v>
      </c>
      <c r="Q151" s="31" t="str">
        <f t="shared" si="26"/>
        <v/>
      </c>
      <c r="R151" s="59"/>
      <c r="S151" s="115">
        <f>$E$128*($S$4*1000)^$F$128</f>
        <v>0</v>
      </c>
      <c r="T151" s="31"/>
      <c r="U151" s="113">
        <f>$E151*($U$4*1000)^$F151</f>
        <v>21.2956362199352</v>
      </c>
      <c r="V151" s="31"/>
      <c r="W151" s="160">
        <v>54</v>
      </c>
      <c r="AC151" s="66"/>
      <c r="AN151" s="238"/>
      <c r="AO151" s="237"/>
      <c r="AP151"/>
      <c r="AQ151"/>
      <c r="AR151"/>
    </row>
    <row r="152" spans="1:44" ht="15">
      <c r="A152" s="143" t="s">
        <v>171</v>
      </c>
      <c r="B152" s="28" t="s">
        <v>145</v>
      </c>
      <c r="C152" s="33" t="s">
        <v>326</v>
      </c>
      <c r="D152" s="28" t="s">
        <v>11</v>
      </c>
      <c r="E152" s="31"/>
      <c r="F152" s="72"/>
      <c r="G152" s="29" t="str">
        <f t="shared" si="27"/>
        <v xml:space="preserve"> </v>
      </c>
      <c r="H152" s="90"/>
      <c r="I152" s="30"/>
      <c r="J152" s="30"/>
      <c r="K152" s="108">
        <v>125</v>
      </c>
      <c r="L152" s="31" t="str">
        <f t="shared" si="25"/>
        <v/>
      </c>
      <c r="M152" s="59"/>
      <c r="N152" s="113"/>
      <c r="O152" s="31">
        <f>K152/1000</f>
        <v>0.125</v>
      </c>
      <c r="P152" s="108">
        <v>0.28</v>
      </c>
      <c r="Q152" s="31" t="str">
        <f t="shared" si="26"/>
        <v/>
      </c>
      <c r="R152" s="59"/>
      <c r="S152" s="113"/>
      <c r="T152" s="31">
        <f>O152/1000</f>
        <v>0.000125</v>
      </c>
      <c r="U152" s="113"/>
      <c r="V152" s="31"/>
      <c r="W152" s="160">
        <v>14</v>
      </c>
      <c r="AN152" s="238"/>
      <c r="AO152" s="237"/>
      <c r="AP152"/>
      <c r="AQ152"/>
      <c r="AR152"/>
    </row>
    <row r="153" spans="1:44" ht="15">
      <c r="A153" s="143" t="s">
        <v>171</v>
      </c>
      <c r="B153" s="28" t="s">
        <v>145</v>
      </c>
      <c r="C153" s="33" t="s">
        <v>326</v>
      </c>
      <c r="D153" s="28" t="s">
        <v>11</v>
      </c>
      <c r="E153" s="31">
        <v>5.36</v>
      </c>
      <c r="F153" s="32">
        <v>0.72</v>
      </c>
      <c r="G153" s="29" t="str">
        <f t="shared" si="27"/>
        <v xml:space="preserve"> </v>
      </c>
      <c r="H153" s="29"/>
      <c r="I153" s="30"/>
      <c r="J153" s="30"/>
      <c r="K153" s="108">
        <f>$E153*K$4^$F153</f>
        <v>114.1919208797636</v>
      </c>
      <c r="L153" s="31" t="str">
        <f t="shared" si="25"/>
        <v/>
      </c>
      <c r="M153" s="59"/>
      <c r="N153" s="113">
        <f>$E153*N$4^$F153</f>
        <v>0.7900150749334522</v>
      </c>
      <c r="O153" s="31"/>
      <c r="P153" s="108">
        <f>$E153*P$4^$F153</f>
        <v>0.3205578278378855</v>
      </c>
      <c r="Q153" s="31" t="str">
        <f t="shared" si="26"/>
        <v/>
      </c>
      <c r="R153" s="59"/>
      <c r="S153" s="113">
        <f>$E153*S$4^$F153</f>
        <v>0.005465568963318066</v>
      </c>
      <c r="T153" s="31"/>
      <c r="U153" s="113">
        <f>$E153*U$4^$F153</f>
        <v>3.7812498825167434E-05</v>
      </c>
      <c r="V153" s="31"/>
      <c r="W153" s="160">
        <v>60</v>
      </c>
      <c r="AN153" s="238"/>
      <c r="AO153" s="237"/>
      <c r="AP153"/>
      <c r="AQ153"/>
      <c r="AR153"/>
    </row>
    <row r="154" spans="1:44" ht="15">
      <c r="A154" s="143" t="s">
        <v>171</v>
      </c>
      <c r="B154" s="28" t="s">
        <v>145</v>
      </c>
      <c r="C154" s="151" t="s">
        <v>144</v>
      </c>
      <c r="D154" s="69" t="s">
        <v>143</v>
      </c>
      <c r="E154" s="67">
        <v>28</v>
      </c>
      <c r="F154" s="68">
        <v>0.1</v>
      </c>
      <c r="G154" s="29" t="str">
        <f t="shared" si="27"/>
        <v xml:space="preserve"> </v>
      </c>
      <c r="H154" s="70"/>
      <c r="I154" s="30"/>
      <c r="J154" s="30"/>
      <c r="K154" s="108">
        <f>$E154*K$4^$F154</f>
        <v>42.82208757806616</v>
      </c>
      <c r="L154" s="31" t="str">
        <f t="shared" si="25"/>
        <v/>
      </c>
      <c r="M154" s="59"/>
      <c r="N154" s="113">
        <f>$E154*N$4^$F154</f>
        <v>21.46188361139576</v>
      </c>
      <c r="O154" s="67"/>
      <c r="P154" s="108">
        <f>$E154*P$4^$F154</f>
        <v>18.93481345857476</v>
      </c>
      <c r="Q154" s="31" t="str">
        <f t="shared" si="26"/>
        <v/>
      </c>
      <c r="R154" s="59"/>
      <c r="S154" s="113">
        <f>$E154*S$4^$F154</f>
        <v>10.756422075625931</v>
      </c>
      <c r="T154" s="67"/>
      <c r="U154" s="113">
        <f>$E154*U$4^$F154</f>
        <v>5.390981423810283</v>
      </c>
      <c r="V154" s="31"/>
      <c r="W154" s="160">
        <v>53</v>
      </c>
      <c r="AC154" s="66"/>
      <c r="AN154" s="238"/>
      <c r="AO154" s="237"/>
      <c r="AP154"/>
      <c r="AQ154"/>
      <c r="AR154"/>
    </row>
    <row r="155" spans="1:44" ht="15">
      <c r="A155" s="143" t="s">
        <v>171</v>
      </c>
      <c r="B155" s="28" t="s">
        <v>145</v>
      </c>
      <c r="C155" s="33" t="s">
        <v>142</v>
      </c>
      <c r="D155" s="28" t="s">
        <v>19</v>
      </c>
      <c r="E155" s="31"/>
      <c r="F155" s="32"/>
      <c r="G155" s="29" t="str">
        <f t="shared" si="27"/>
        <v xml:space="preserve"> </v>
      </c>
      <c r="H155" s="29"/>
      <c r="I155" s="30"/>
      <c r="J155" s="30" t="s">
        <v>430</v>
      </c>
      <c r="K155" s="108">
        <v>1400</v>
      </c>
      <c r="L155" s="31" t="str">
        <f t="shared" si="25"/>
        <v/>
      </c>
      <c r="M155" s="59"/>
      <c r="N155" s="113"/>
      <c r="O155" s="31"/>
      <c r="P155" s="108">
        <v>1</v>
      </c>
      <c r="Q155" s="31" t="str">
        <f t="shared" si="26"/>
        <v/>
      </c>
      <c r="R155" s="59"/>
      <c r="S155" s="113"/>
      <c r="T155" s="31"/>
      <c r="U155" s="113"/>
      <c r="V155" s="31"/>
      <c r="W155" s="160">
        <v>14</v>
      </c>
      <c r="AN155" s="238"/>
      <c r="AO155" s="237"/>
      <c r="AP155"/>
      <c r="AQ155"/>
      <c r="AR155"/>
    </row>
    <row r="156" spans="1:44" s="29" customFormat="1" ht="15">
      <c r="A156" s="143" t="s">
        <v>171</v>
      </c>
      <c r="B156" s="28" t="s">
        <v>145</v>
      </c>
      <c r="C156" s="33" t="s">
        <v>142</v>
      </c>
      <c r="D156" s="28" t="s">
        <v>19</v>
      </c>
      <c r="E156" s="31">
        <v>60.85</v>
      </c>
      <c r="F156" s="32">
        <v>0.75</v>
      </c>
      <c r="G156" s="29" t="str">
        <f t="shared" si="27"/>
        <v xml:space="preserve"> </v>
      </c>
      <c r="I156" s="30"/>
      <c r="J156" s="30" t="s">
        <v>431</v>
      </c>
      <c r="K156" s="108">
        <f>$E156*K$4^$F156</f>
        <v>1472.5976821823485</v>
      </c>
      <c r="L156" s="31" t="str">
        <f t="shared" si="25"/>
        <v/>
      </c>
      <c r="M156" s="59"/>
      <c r="N156" s="113">
        <f>$E156*N$4^$F156</f>
        <v>8.281025320706581</v>
      </c>
      <c r="O156" s="31"/>
      <c r="P156" s="108">
        <f>$E156*P$4^$F156</f>
        <v>3.2361830532910263</v>
      </c>
      <c r="Q156" s="31" t="str">
        <f t="shared" si="26"/>
        <v/>
      </c>
      <c r="R156" s="59"/>
      <c r="S156" s="113">
        <f>$E156*S$4^$F156</f>
        <v>0.046567627527809734</v>
      </c>
      <c r="T156" s="31"/>
      <c r="U156" s="113">
        <f>$E156*U$4^$F156</f>
        <v>0.00026186901374959106</v>
      </c>
      <c r="V156" s="31"/>
      <c r="W156" s="160">
        <v>58</v>
      </c>
      <c r="AB156" s="28"/>
      <c r="AC156" s="30"/>
      <c r="AE156" s="30"/>
      <c r="AJ156" s="28"/>
      <c r="AK156" s="35"/>
      <c r="AN156" s="238"/>
      <c r="AO156" s="237"/>
      <c r="AP156"/>
      <c r="AQ156"/>
      <c r="AR156"/>
    </row>
    <row r="157" spans="1:44" s="29" customFormat="1" ht="15">
      <c r="A157" s="143" t="s">
        <v>171</v>
      </c>
      <c r="B157" s="28" t="s">
        <v>145</v>
      </c>
      <c r="C157" s="33" t="s">
        <v>141</v>
      </c>
      <c r="D157" s="28" t="s">
        <v>140</v>
      </c>
      <c r="E157" s="31">
        <v>2667</v>
      </c>
      <c r="F157" s="32">
        <v>-0.097</v>
      </c>
      <c r="G157" s="29" t="str">
        <f t="shared" si="27"/>
        <v xml:space="preserve"> </v>
      </c>
      <c r="I157" s="30"/>
      <c r="J157" s="30"/>
      <c r="K157" s="108">
        <f>$E157*K$4^$F157</f>
        <v>1766.2350782610858</v>
      </c>
      <c r="L157" s="31" t="str">
        <f t="shared" si="25"/>
        <v/>
      </c>
      <c r="M157" s="59"/>
      <c r="N157" s="113">
        <f>$E157*N$4^$F157</f>
        <v>3451.822901620182</v>
      </c>
      <c r="O157" s="31"/>
      <c r="P157" s="108">
        <f>$E157*P$4^$F157</f>
        <v>3897.831904873291</v>
      </c>
      <c r="Q157" s="31" t="str">
        <f t="shared" si="26"/>
        <v/>
      </c>
      <c r="R157" s="59"/>
      <c r="S157" s="113">
        <f>$E157*S$4^$F157</f>
        <v>6746.03369098543</v>
      </c>
      <c r="T157" s="31"/>
      <c r="U157" s="113">
        <f>$E157*U$4^$F157</f>
        <v>13184.039812282945</v>
      </c>
      <c r="V157" s="31"/>
      <c r="W157" s="160" t="s">
        <v>306</v>
      </c>
      <c r="AB157" s="28"/>
      <c r="AC157" s="66"/>
      <c r="AE157" s="30"/>
      <c r="AJ157" s="28"/>
      <c r="AK157" s="35"/>
      <c r="AN157" s="238"/>
      <c r="AO157" s="237"/>
      <c r="AP157"/>
      <c r="AQ157"/>
      <c r="AR157"/>
    </row>
    <row r="158" spans="1:44" s="29" customFormat="1" ht="15">
      <c r="A158" s="143" t="s">
        <v>171</v>
      </c>
      <c r="B158" s="28" t="s">
        <v>145</v>
      </c>
      <c r="C158" s="33" t="s">
        <v>139</v>
      </c>
      <c r="D158" s="28"/>
      <c r="E158" s="31"/>
      <c r="F158" s="32">
        <v>0.75</v>
      </c>
      <c r="G158" s="29" t="str">
        <f t="shared" si="27"/>
        <v xml:space="preserve"> </v>
      </c>
      <c r="I158" s="30"/>
      <c r="J158" s="30"/>
      <c r="K158" s="108"/>
      <c r="L158" s="31" t="str">
        <f aca="true" t="shared" si="33" ref="L158:L176">IF(COUNT(M158)=1,"±","")</f>
        <v/>
      </c>
      <c r="M158" s="59"/>
      <c r="N158" s="113"/>
      <c r="O158" s="31"/>
      <c r="P158" s="108"/>
      <c r="Q158" s="31" t="str">
        <f aca="true" t="shared" si="34" ref="Q158:Q176">IF(COUNT(R158)=1,"±","")</f>
        <v/>
      </c>
      <c r="R158" s="59"/>
      <c r="S158" s="113"/>
      <c r="T158" s="31"/>
      <c r="U158" s="113"/>
      <c r="V158" s="31"/>
      <c r="W158" s="160">
        <v>53</v>
      </c>
      <c r="AB158" s="28"/>
      <c r="AC158" s="30"/>
      <c r="AE158" s="30"/>
      <c r="AJ158" s="28"/>
      <c r="AK158" s="35"/>
      <c r="AN158" s="238"/>
      <c r="AO158" s="237"/>
      <c r="AP158"/>
      <c r="AQ158"/>
      <c r="AR158"/>
    </row>
    <row r="159" spans="1:44" s="29" customFormat="1" ht="15">
      <c r="A159" s="143" t="s">
        <v>171</v>
      </c>
      <c r="B159" s="28" t="s">
        <v>145</v>
      </c>
      <c r="C159" s="33" t="s">
        <v>138</v>
      </c>
      <c r="D159" s="28" t="s">
        <v>137</v>
      </c>
      <c r="E159" s="65">
        <f>1.59</f>
        <v>1.59</v>
      </c>
      <c r="F159" s="32">
        <v>0.72</v>
      </c>
      <c r="G159" s="29" t="str">
        <f t="shared" si="27"/>
        <v xml:space="preserve"> </v>
      </c>
      <c r="I159" s="30"/>
      <c r="J159" s="30"/>
      <c r="K159" s="108">
        <f aca="true" t="shared" si="35" ref="K159:K169">$E159*K$4^$F159</f>
        <v>33.87409593261644</v>
      </c>
      <c r="L159" s="31" t="str">
        <f t="shared" si="33"/>
        <v/>
      </c>
      <c r="M159" s="59"/>
      <c r="N159" s="113">
        <f aca="true" t="shared" si="36" ref="N159:N169">$E159*N$4^$F159</f>
        <v>0.23435148678063228</v>
      </c>
      <c r="O159" s="31"/>
      <c r="P159" s="108">
        <f aca="true" t="shared" si="37" ref="P159:P169">$E159*P$4^$F159</f>
        <v>0.09509084818325335</v>
      </c>
      <c r="Q159" s="31" t="str">
        <f t="shared" si="34"/>
        <v/>
      </c>
      <c r="R159" s="59"/>
      <c r="S159" s="113">
        <f aca="true" t="shared" si="38" ref="S159:S169">$E159*S$4^$F159</f>
        <v>0.0016213161663574112</v>
      </c>
      <c r="T159" s="31"/>
      <c r="U159" s="113">
        <f aca="true" t="shared" si="39" ref="U159:U169">$E159*U$4^$F159</f>
        <v>1.121676737537616E-05</v>
      </c>
      <c r="V159" s="31"/>
      <c r="W159" s="160" t="s">
        <v>554</v>
      </c>
      <c r="AB159" s="28"/>
      <c r="AC159" s="30"/>
      <c r="AE159" s="30"/>
      <c r="AJ159" s="28"/>
      <c r="AK159" s="35"/>
      <c r="AN159" s="238"/>
      <c r="AO159" s="237"/>
      <c r="AP159"/>
      <c r="AQ159"/>
      <c r="AR159"/>
    </row>
    <row r="160" spans="1:44" s="29" customFormat="1" ht="15">
      <c r="A160" s="143" t="s">
        <v>171</v>
      </c>
      <c r="B160" s="28" t="s">
        <v>145</v>
      </c>
      <c r="C160" s="33" t="s">
        <v>136</v>
      </c>
      <c r="D160" s="28" t="s">
        <v>11</v>
      </c>
      <c r="E160" s="31">
        <v>5.36</v>
      </c>
      <c r="F160" s="32">
        <v>0.72</v>
      </c>
      <c r="G160" s="29" t="str">
        <f t="shared" si="27"/>
        <v xml:space="preserve"> </v>
      </c>
      <c r="I160" s="30"/>
      <c r="J160" s="30"/>
      <c r="K160" s="108">
        <f t="shared" si="35"/>
        <v>114.1919208797636</v>
      </c>
      <c r="L160" s="31" t="str">
        <f t="shared" si="33"/>
        <v/>
      </c>
      <c r="M160" s="59"/>
      <c r="N160" s="113">
        <f t="shared" si="36"/>
        <v>0.7900150749334522</v>
      </c>
      <c r="O160" s="31">
        <f>K160/1000</f>
        <v>0.1141919208797636</v>
      </c>
      <c r="P160" s="108">
        <f t="shared" si="37"/>
        <v>0.3205578278378855</v>
      </c>
      <c r="Q160" s="31" t="str">
        <f t="shared" si="34"/>
        <v/>
      </c>
      <c r="R160" s="59"/>
      <c r="S160" s="113">
        <f t="shared" si="38"/>
        <v>0.005465568963318066</v>
      </c>
      <c r="T160" s="31">
        <f>O160/1000</f>
        <v>0.0001141919208797636</v>
      </c>
      <c r="U160" s="113">
        <f t="shared" si="39"/>
        <v>3.7812498825167434E-05</v>
      </c>
      <c r="V160" s="31"/>
      <c r="W160" s="160" t="s">
        <v>555</v>
      </c>
      <c r="AB160" s="28"/>
      <c r="AC160" s="30"/>
      <c r="AE160" s="30"/>
      <c r="AJ160" s="28"/>
      <c r="AK160" s="35"/>
      <c r="AN160" s="238"/>
      <c r="AO160" s="237"/>
      <c r="AP160"/>
      <c r="AQ160"/>
      <c r="AR160"/>
    </row>
    <row r="161" spans="1:44" s="29" customFormat="1" ht="15">
      <c r="A161" s="143" t="s">
        <v>171</v>
      </c>
      <c r="B161" s="28" t="s">
        <v>145</v>
      </c>
      <c r="C161" s="33" t="s">
        <v>135</v>
      </c>
      <c r="D161" s="28" t="s">
        <v>11</v>
      </c>
      <c r="E161" s="31">
        <v>8.2</v>
      </c>
      <c r="F161" s="32">
        <v>0.69</v>
      </c>
      <c r="G161" s="29" t="str">
        <f t="shared" si="27"/>
        <v xml:space="preserve"> </v>
      </c>
      <c r="I161" s="30"/>
      <c r="J161" s="30"/>
      <c r="K161" s="108">
        <f t="shared" si="35"/>
        <v>153.79120507739123</v>
      </c>
      <c r="L161" s="31" t="str">
        <f t="shared" si="33"/>
        <v/>
      </c>
      <c r="M161" s="59"/>
      <c r="N161" s="113">
        <f t="shared" si="36"/>
        <v>1.3089754458235017</v>
      </c>
      <c r="O161" s="31"/>
      <c r="P161" s="108">
        <f t="shared" si="37"/>
        <v>0.5514733746713014</v>
      </c>
      <c r="Q161" s="31" t="str">
        <f t="shared" si="34"/>
        <v/>
      </c>
      <c r="R161" s="59"/>
      <c r="S161" s="113">
        <f t="shared" si="38"/>
        <v>0.011141187930132964</v>
      </c>
      <c r="T161" s="31"/>
      <c r="U161" s="113">
        <f t="shared" si="39"/>
        <v>9.482688838097369E-05</v>
      </c>
      <c r="V161" s="31"/>
      <c r="W161" s="160" t="s">
        <v>556</v>
      </c>
      <c r="AB161" s="28"/>
      <c r="AC161" s="30"/>
      <c r="AE161" s="30"/>
      <c r="AJ161" s="28"/>
      <c r="AK161" s="35"/>
      <c r="AN161" s="238"/>
      <c r="AO161" s="237"/>
      <c r="AP161"/>
      <c r="AQ161"/>
      <c r="AR161"/>
    </row>
    <row r="162" spans="1:44" s="29" customFormat="1" ht="15">
      <c r="A162" s="143" t="s">
        <v>171</v>
      </c>
      <c r="B162" s="28" t="s">
        <v>145</v>
      </c>
      <c r="C162" s="33" t="s">
        <v>134</v>
      </c>
      <c r="D162" s="28" t="s">
        <v>11</v>
      </c>
      <c r="E162" s="31">
        <v>10.9</v>
      </c>
      <c r="F162" s="32">
        <v>0.69</v>
      </c>
      <c r="G162" s="29" t="str">
        <f t="shared" si="27"/>
        <v xml:space="preserve"> </v>
      </c>
      <c r="I162" s="30"/>
      <c r="J162" s="30"/>
      <c r="K162" s="108">
        <f t="shared" si="35"/>
        <v>204.4297726028737</v>
      </c>
      <c r="L162" s="31" t="str">
        <f t="shared" si="33"/>
        <v/>
      </c>
      <c r="M162" s="59"/>
      <c r="N162" s="113">
        <f t="shared" si="36"/>
        <v>1.7399795560336793</v>
      </c>
      <c r="O162" s="31"/>
      <c r="P162" s="108">
        <f t="shared" si="37"/>
        <v>0.733056071209413</v>
      </c>
      <c r="Q162" s="31" t="str">
        <f t="shared" si="34"/>
        <v/>
      </c>
      <c r="R162" s="59"/>
      <c r="S162" s="113">
        <f t="shared" si="38"/>
        <v>0.014809627858347479</v>
      </c>
      <c r="T162" s="31"/>
      <c r="U162" s="113">
        <f t="shared" si="39"/>
        <v>0.00012605037601861138</v>
      </c>
      <c r="V162" s="31"/>
      <c r="W162" s="160">
        <v>61</v>
      </c>
      <c r="AB162" s="28"/>
      <c r="AC162" s="30"/>
      <c r="AE162" s="30"/>
      <c r="AJ162" s="28"/>
      <c r="AK162" s="35"/>
      <c r="AN162" s="238"/>
      <c r="AO162" s="237"/>
      <c r="AP162"/>
      <c r="AQ162"/>
      <c r="AR162"/>
    </row>
    <row r="163" spans="1:44" s="29" customFormat="1" ht="15">
      <c r="A163" s="143" t="s">
        <v>171</v>
      </c>
      <c r="B163" s="28" t="s">
        <v>145</v>
      </c>
      <c r="C163" s="33" t="s">
        <v>133</v>
      </c>
      <c r="D163" s="28" t="s">
        <v>11</v>
      </c>
      <c r="E163" s="31">
        <v>21.79</v>
      </c>
      <c r="F163" s="32">
        <v>0.77</v>
      </c>
      <c r="G163" s="29" t="str">
        <f t="shared" si="27"/>
        <v xml:space="preserve"> </v>
      </c>
      <c r="I163" s="30"/>
      <c r="J163" s="30"/>
      <c r="K163" s="108">
        <f t="shared" si="35"/>
        <v>574.0936207286409</v>
      </c>
      <c r="L163" s="31" t="str">
        <f t="shared" si="33"/>
        <v/>
      </c>
      <c r="M163" s="59"/>
      <c r="N163" s="113">
        <f t="shared" si="36"/>
        <v>2.811788957674302</v>
      </c>
      <c r="O163" s="31"/>
      <c r="P163" s="108">
        <f t="shared" si="37"/>
        <v>1.0716434822186423</v>
      </c>
      <c r="Q163" s="31" t="str">
        <f t="shared" si="34"/>
        <v/>
      </c>
      <c r="R163" s="59"/>
      <c r="S163" s="113">
        <f t="shared" si="38"/>
        <v>0.013771546760029533</v>
      </c>
      <c r="T163" s="31"/>
      <c r="U163" s="113">
        <f t="shared" si="39"/>
        <v>6.745011913004615E-05</v>
      </c>
      <c r="V163" s="31"/>
      <c r="W163" s="160">
        <v>58</v>
      </c>
      <c r="AB163" s="28"/>
      <c r="AC163" s="30"/>
      <c r="AE163" s="30"/>
      <c r="AJ163" s="28"/>
      <c r="AK163" s="35"/>
      <c r="AN163" s="238"/>
      <c r="AO163" s="237"/>
      <c r="AP163"/>
      <c r="AQ163"/>
      <c r="AR163"/>
    </row>
    <row r="164" spans="1:44" s="29" customFormat="1" ht="15">
      <c r="A164" s="143" t="s">
        <v>171</v>
      </c>
      <c r="B164" s="28" t="s">
        <v>145</v>
      </c>
      <c r="C164" s="33" t="s">
        <v>132</v>
      </c>
      <c r="D164" s="28" t="s">
        <v>129</v>
      </c>
      <c r="E164" s="31">
        <v>146</v>
      </c>
      <c r="F164" s="32">
        <v>0.72</v>
      </c>
      <c r="G164" s="29" t="str">
        <f t="shared" si="27"/>
        <v xml:space="preserve"> </v>
      </c>
      <c r="I164" s="30"/>
      <c r="J164" s="30"/>
      <c r="K164" s="108">
        <f t="shared" si="35"/>
        <v>3110.4515762025158</v>
      </c>
      <c r="L164" s="31" t="str">
        <f t="shared" si="33"/>
        <v/>
      </c>
      <c r="M164" s="59"/>
      <c r="N164" s="113">
        <f t="shared" si="36"/>
        <v>21.51906733960523</v>
      </c>
      <c r="O164" s="31"/>
      <c r="P164" s="108">
        <f t="shared" si="37"/>
        <v>8.73161247468867</v>
      </c>
      <c r="Q164" s="31" t="str">
        <f t="shared" si="34"/>
        <v/>
      </c>
      <c r="R164" s="59"/>
      <c r="S164" s="113">
        <f t="shared" si="38"/>
        <v>0.1488755725082906</v>
      </c>
      <c r="T164" s="31"/>
      <c r="U164" s="113">
        <f t="shared" si="39"/>
        <v>0.0010299673187452324</v>
      </c>
      <c r="V164" s="31"/>
      <c r="W164" s="160">
        <v>60</v>
      </c>
      <c r="AB164" s="28"/>
      <c r="AC164" s="30"/>
      <c r="AE164" s="30"/>
      <c r="AJ164" s="28"/>
      <c r="AK164" s="35"/>
      <c r="AN164" s="238"/>
      <c r="AO164" s="237"/>
      <c r="AP164"/>
      <c r="AQ164"/>
      <c r="AR164"/>
    </row>
    <row r="165" spans="1:44" s="29" customFormat="1" ht="15">
      <c r="A165" s="143" t="s">
        <v>171</v>
      </c>
      <c r="B165" s="28" t="s">
        <v>145</v>
      </c>
      <c r="C165" s="33" t="s">
        <v>131</v>
      </c>
      <c r="D165" s="28" t="s">
        <v>129</v>
      </c>
      <c r="E165" s="31">
        <v>12.7</v>
      </c>
      <c r="F165" s="32">
        <v>0.896</v>
      </c>
      <c r="G165" s="29" t="str">
        <f t="shared" si="27"/>
        <v xml:space="preserve"> </v>
      </c>
      <c r="I165" s="30"/>
      <c r="J165" s="30"/>
      <c r="K165" s="108">
        <f t="shared" si="35"/>
        <v>571.4938547540652</v>
      </c>
      <c r="L165" s="31" t="str">
        <f t="shared" si="33"/>
        <v/>
      </c>
      <c r="M165" s="59"/>
      <c r="N165" s="113">
        <f t="shared" si="36"/>
        <v>1.172226580302769</v>
      </c>
      <c r="O165" s="31"/>
      <c r="P165" s="108">
        <f t="shared" si="37"/>
        <v>0.381528159118721</v>
      </c>
      <c r="Q165" s="31" t="str">
        <f t="shared" si="34"/>
        <v/>
      </c>
      <c r="R165" s="59"/>
      <c r="S165" s="113">
        <f t="shared" si="38"/>
        <v>0.0024044268265310683</v>
      </c>
      <c r="T165" s="31"/>
      <c r="U165" s="113">
        <f t="shared" si="39"/>
        <v>4.931869368334109E-06</v>
      </c>
      <c r="V165" s="31"/>
      <c r="W165" s="160">
        <v>60</v>
      </c>
      <c r="AB165" s="28"/>
      <c r="AC165" s="30"/>
      <c r="AE165" s="30"/>
      <c r="AJ165" s="28"/>
      <c r="AK165" s="35"/>
      <c r="AN165" s="238"/>
      <c r="AO165" s="237"/>
      <c r="AP165"/>
      <c r="AQ165"/>
      <c r="AR165"/>
    </row>
    <row r="166" spans="1:44" s="29" customFormat="1" ht="15">
      <c r="A166" s="143" t="s">
        <v>171</v>
      </c>
      <c r="B166" s="28" t="s">
        <v>145</v>
      </c>
      <c r="C166" s="33" t="s">
        <v>130</v>
      </c>
      <c r="D166" s="28" t="s">
        <v>129</v>
      </c>
      <c r="E166" s="31">
        <v>6.85</v>
      </c>
      <c r="F166" s="32">
        <v>0.74</v>
      </c>
      <c r="G166" s="29" t="str">
        <f t="shared" si="27"/>
        <v xml:space="preserve"> </v>
      </c>
      <c r="I166" s="30"/>
      <c r="J166" s="30"/>
      <c r="K166" s="108">
        <f t="shared" si="35"/>
        <v>158.8777647479063</v>
      </c>
      <c r="L166" s="31" t="str">
        <f t="shared" si="33"/>
        <v/>
      </c>
      <c r="M166" s="59"/>
      <c r="N166" s="113">
        <f t="shared" si="36"/>
        <v>0.9573332016291761</v>
      </c>
      <c r="O166" s="31"/>
      <c r="P166" s="108">
        <f t="shared" si="37"/>
        <v>0.3788373310367251</v>
      </c>
      <c r="Q166" s="31" t="str">
        <f t="shared" si="34"/>
        <v/>
      </c>
      <c r="R166" s="59"/>
      <c r="S166" s="113">
        <f t="shared" si="38"/>
        <v>0.005768502977089161</v>
      </c>
      <c r="T166" s="31"/>
      <c r="U166" s="113">
        <f t="shared" si="39"/>
        <v>3.475866766143545E-05</v>
      </c>
      <c r="V166" s="31"/>
      <c r="W166" s="160">
        <v>60</v>
      </c>
      <c r="AB166" s="28"/>
      <c r="AC166" s="30"/>
      <c r="AE166" s="30"/>
      <c r="AJ166" s="28"/>
      <c r="AK166" s="35"/>
      <c r="AN166" s="238"/>
      <c r="AO166" s="237"/>
      <c r="AP166"/>
      <c r="AQ166"/>
      <c r="AR166"/>
    </row>
    <row r="167" spans="1:44" s="29" customFormat="1" ht="15">
      <c r="A167" s="143" t="s">
        <v>171</v>
      </c>
      <c r="B167" s="28" t="s">
        <v>128</v>
      </c>
      <c r="C167" s="33" t="s">
        <v>127</v>
      </c>
      <c r="D167" s="28" t="s">
        <v>126</v>
      </c>
      <c r="E167" s="31">
        <v>3.89</v>
      </c>
      <c r="F167" s="32">
        <v>0.76</v>
      </c>
      <c r="G167" s="29" t="str">
        <f t="shared" si="27"/>
        <v xml:space="preserve"> </v>
      </c>
      <c r="I167" s="30"/>
      <c r="J167" s="30"/>
      <c r="K167" s="108">
        <f t="shared" si="35"/>
        <v>98.22546913780037</v>
      </c>
      <c r="L167" s="31" t="str">
        <f t="shared" si="33"/>
        <v/>
      </c>
      <c r="M167" s="59"/>
      <c r="N167" s="113">
        <f t="shared" si="36"/>
        <v>0.5154945899005141</v>
      </c>
      <c r="O167" s="31"/>
      <c r="P167" s="108">
        <f t="shared" si="37"/>
        <v>0.19894471110673914</v>
      </c>
      <c r="Q167" s="31" t="str">
        <f t="shared" si="34"/>
        <v/>
      </c>
      <c r="R167" s="59"/>
      <c r="S167" s="113">
        <f t="shared" si="38"/>
        <v>0.002705354064981868</v>
      </c>
      <c r="T167" s="31"/>
      <c r="U167" s="113">
        <f t="shared" si="39"/>
        <v>1.419789995919533E-05</v>
      </c>
      <c r="V167" s="31"/>
      <c r="W167" s="160">
        <v>57</v>
      </c>
      <c r="AB167" s="28"/>
      <c r="AC167" s="30"/>
      <c r="AE167" s="30"/>
      <c r="AJ167" s="28"/>
      <c r="AK167" s="35"/>
      <c r="AN167" s="238"/>
      <c r="AO167" s="237"/>
      <c r="AP167"/>
      <c r="AQ167"/>
      <c r="AR167"/>
    </row>
    <row r="168" spans="1:44" s="29" customFormat="1" ht="15">
      <c r="A168" s="143" t="s">
        <v>171</v>
      </c>
      <c r="B168" s="28" t="s">
        <v>128</v>
      </c>
      <c r="C168" s="33" t="s">
        <v>125</v>
      </c>
      <c r="D168" s="28" t="s">
        <v>124</v>
      </c>
      <c r="E168" s="31">
        <v>3.89</v>
      </c>
      <c r="F168" s="32">
        <v>-0.24</v>
      </c>
      <c r="G168" s="29" t="str">
        <f t="shared" si="27"/>
        <v xml:space="preserve"> </v>
      </c>
      <c r="I168" s="30"/>
      <c r="J168" s="30"/>
      <c r="K168" s="108">
        <f t="shared" si="35"/>
        <v>1.4032209876828619</v>
      </c>
      <c r="L168" s="31" t="str">
        <f t="shared" si="33"/>
        <v/>
      </c>
      <c r="M168" s="59"/>
      <c r="N168" s="113">
        <f t="shared" si="36"/>
        <v>7.364208427150203</v>
      </c>
      <c r="O168" s="31"/>
      <c r="P168" s="108">
        <f t="shared" si="37"/>
        <v>9.947235555336954</v>
      </c>
      <c r="Q168" s="31" t="str">
        <f t="shared" si="34"/>
        <v/>
      </c>
      <c r="R168" s="59"/>
      <c r="S168" s="113">
        <f t="shared" si="38"/>
        <v>38.647915214026696</v>
      </c>
      <c r="T168" s="31"/>
      <c r="U168" s="113">
        <f t="shared" si="39"/>
        <v>202.82714227421897</v>
      </c>
      <c r="V168" s="31"/>
      <c r="W168" s="160">
        <v>57</v>
      </c>
      <c r="AB168" s="28"/>
      <c r="AC168" s="30"/>
      <c r="AE168" s="30"/>
      <c r="AJ168" s="28"/>
      <c r="AK168" s="35"/>
      <c r="AN168" s="238"/>
      <c r="AO168" s="237"/>
      <c r="AP168"/>
      <c r="AQ168"/>
      <c r="AR168"/>
    </row>
    <row r="169" spans="1:44" ht="15">
      <c r="A169" s="143" t="s">
        <v>171</v>
      </c>
      <c r="B169" s="28" t="s">
        <v>128</v>
      </c>
      <c r="C169" s="33" t="s">
        <v>123</v>
      </c>
      <c r="D169" s="69" t="s">
        <v>122</v>
      </c>
      <c r="E169" s="67">
        <v>2887</v>
      </c>
      <c r="F169" s="68">
        <v>-0.08</v>
      </c>
      <c r="G169" s="29" t="str">
        <f t="shared" si="27"/>
        <v xml:space="preserve"> </v>
      </c>
      <c r="H169" s="70"/>
      <c r="I169" s="30"/>
      <c r="J169" s="30"/>
      <c r="K169" s="108">
        <f t="shared" si="35"/>
        <v>2055.12830457778</v>
      </c>
      <c r="L169" s="31" t="str">
        <f t="shared" si="33"/>
        <v/>
      </c>
      <c r="M169" s="59"/>
      <c r="N169" s="113">
        <f t="shared" si="36"/>
        <v>3571.4036708815656</v>
      </c>
      <c r="O169" s="31"/>
      <c r="P169" s="108">
        <f t="shared" si="37"/>
        <v>3947.8840076629426</v>
      </c>
      <c r="Q169" s="31" t="str">
        <f t="shared" si="34"/>
        <v/>
      </c>
      <c r="R169" s="59"/>
      <c r="S169" s="113">
        <f t="shared" si="38"/>
        <v>6206.388259056546</v>
      </c>
      <c r="T169" s="31"/>
      <c r="U169" s="113">
        <f t="shared" si="39"/>
        <v>10785.46666012886</v>
      </c>
      <c r="V169" s="31"/>
      <c r="W169" s="160" t="s">
        <v>557</v>
      </c>
      <c r="AC169" s="66"/>
      <c r="AN169" s="238"/>
      <c r="AO169" s="237"/>
      <c r="AP169"/>
      <c r="AQ169"/>
      <c r="AR169"/>
    </row>
    <row r="170" spans="1:44" ht="15">
      <c r="A170" s="143" t="s">
        <v>171</v>
      </c>
      <c r="B170" s="28" t="s">
        <v>128</v>
      </c>
      <c r="C170" s="33" t="s">
        <v>121</v>
      </c>
      <c r="D170" s="28"/>
      <c r="E170" s="31"/>
      <c r="F170" s="32">
        <v>-0.1</v>
      </c>
      <c r="G170" s="29" t="str">
        <f t="shared" si="27"/>
        <v xml:space="preserve"> </v>
      </c>
      <c r="H170" s="29"/>
      <c r="I170" s="30"/>
      <c r="J170" s="30"/>
      <c r="K170" s="108"/>
      <c r="L170" s="31" t="str">
        <f t="shared" si="33"/>
        <v/>
      </c>
      <c r="M170" s="59"/>
      <c r="N170" s="113"/>
      <c r="O170" s="31"/>
      <c r="P170" s="108"/>
      <c r="Q170" s="31" t="str">
        <f t="shared" si="34"/>
        <v/>
      </c>
      <c r="R170" s="59"/>
      <c r="S170" s="113"/>
      <c r="T170" s="31"/>
      <c r="U170" s="113"/>
      <c r="V170" s="31"/>
      <c r="W170" s="160">
        <v>63</v>
      </c>
      <c r="AN170" s="238"/>
      <c r="AO170" s="237"/>
      <c r="AP170"/>
      <c r="AQ170"/>
      <c r="AR170"/>
    </row>
    <row r="171" spans="1:44" ht="25.5">
      <c r="A171" s="143" t="s">
        <v>171</v>
      </c>
      <c r="B171" s="28" t="s">
        <v>128</v>
      </c>
      <c r="C171" s="33" t="s">
        <v>120</v>
      </c>
      <c r="D171" s="28" t="s">
        <v>66</v>
      </c>
      <c r="E171" s="31">
        <v>37.97</v>
      </c>
      <c r="F171" s="32">
        <v>-0.14</v>
      </c>
      <c r="G171" s="29" t="str">
        <f t="shared" si="27"/>
        <v xml:space="preserve"> </v>
      </c>
      <c r="H171" s="29"/>
      <c r="I171" s="30"/>
      <c r="J171" s="30"/>
      <c r="K171" s="108">
        <f>$E171*($K$4*1000)^$F171</f>
        <v>7.963919684240298</v>
      </c>
      <c r="L171" s="31" t="str">
        <f t="shared" si="33"/>
        <v/>
      </c>
      <c r="M171" s="59"/>
      <c r="N171" s="113">
        <f>$E171*($N$4*1000)^$F171</f>
        <v>20.94724303548283</v>
      </c>
      <c r="O171" s="31"/>
      <c r="P171" s="108">
        <f>$E171*($P$4*1000)^$F171</f>
        <v>24.96297821629093</v>
      </c>
      <c r="Q171" s="31" t="str">
        <f t="shared" si="34"/>
        <v/>
      </c>
      <c r="R171" s="59"/>
      <c r="S171" s="115">
        <f>$E171*($S$4*1000)^$F171</f>
        <v>55.09686287468395</v>
      </c>
      <c r="T171" s="31"/>
      <c r="U171" s="113">
        <f>$E171*($U$4*1000)^$F171</f>
        <v>144.91951487313017</v>
      </c>
      <c r="V171" s="31"/>
      <c r="W171" s="160">
        <v>64</v>
      </c>
      <c r="AN171" s="238"/>
      <c r="AO171" s="237"/>
      <c r="AP171"/>
      <c r="AQ171"/>
      <c r="AR171"/>
    </row>
    <row r="172" spans="1:44" ht="25.5">
      <c r="A172" s="143" t="s">
        <v>171</v>
      </c>
      <c r="B172" s="28" t="s">
        <v>128</v>
      </c>
      <c r="C172" s="33" t="s">
        <v>119</v>
      </c>
      <c r="D172" s="28" t="s">
        <v>118</v>
      </c>
      <c r="E172" s="31">
        <v>21.71</v>
      </c>
      <c r="F172" s="32">
        <v>-0.22</v>
      </c>
      <c r="G172" s="29" t="str">
        <f t="shared" si="27"/>
        <v xml:space="preserve"> </v>
      </c>
      <c r="H172" s="29"/>
      <c r="I172" s="30"/>
      <c r="J172" s="30"/>
      <c r="K172" s="108">
        <f>$E172*($K$4*1000)^$F172</f>
        <v>1.8652551796083239</v>
      </c>
      <c r="L172" s="31" t="str">
        <f t="shared" si="33"/>
        <v/>
      </c>
      <c r="M172" s="59"/>
      <c r="N172" s="113">
        <f>$E172*($N$4*1000)^$F172</f>
        <v>8.525861132169371</v>
      </c>
      <c r="O172" s="31"/>
      <c r="P172" s="108">
        <f>$E172*($P$4*1000)^$F172</f>
        <v>11.231382666089704</v>
      </c>
      <c r="Q172" s="31" t="str">
        <f t="shared" si="34"/>
        <v/>
      </c>
      <c r="R172" s="59"/>
      <c r="S172" s="115">
        <f>$E172*($S$4*1000)^$F172</f>
        <v>38.970704298111265</v>
      </c>
      <c r="T172" s="31"/>
      <c r="U172" s="113">
        <f>$E172*($U$4*1000)^$F172</f>
        <v>178.1304867564031</v>
      </c>
      <c r="V172" s="31"/>
      <c r="W172" s="160">
        <v>64</v>
      </c>
      <c r="AN172" s="238"/>
      <c r="AO172" s="237"/>
      <c r="AP172"/>
      <c r="AQ172"/>
      <c r="AR172"/>
    </row>
    <row r="173" spans="1:44" ht="15">
      <c r="A173" s="143" t="s">
        <v>171</v>
      </c>
      <c r="B173" s="28" t="s">
        <v>128</v>
      </c>
      <c r="C173" s="33" t="s">
        <v>117</v>
      </c>
      <c r="D173" s="28" t="s">
        <v>66</v>
      </c>
      <c r="E173" s="31">
        <v>56.23</v>
      </c>
      <c r="F173" s="32">
        <v>-0.056</v>
      </c>
      <c r="G173" s="29" t="str">
        <f t="shared" si="27"/>
        <v xml:space="preserve"> </v>
      </c>
      <c r="H173" s="29"/>
      <c r="I173" s="30"/>
      <c r="J173" s="30"/>
      <c r="K173" s="108">
        <f>$E173*K$4^$F173</f>
        <v>44.32437222012143</v>
      </c>
      <c r="L173" s="31" t="str">
        <f t="shared" si="33"/>
        <v/>
      </c>
      <c r="M173" s="59"/>
      <c r="N173" s="113">
        <f>$E173*N$4^$F173</f>
        <v>65.25932738216628</v>
      </c>
      <c r="O173" s="31"/>
      <c r="P173" s="108">
        <f>$E173*P$4^$F173</f>
        <v>70.00199282747725</v>
      </c>
      <c r="Q173" s="31" t="str">
        <f t="shared" si="34"/>
        <v/>
      </c>
      <c r="R173" s="59"/>
      <c r="S173" s="113">
        <f>$E173*S$4^$F173</f>
        <v>96.08212360511327</v>
      </c>
      <c r="T173" s="31"/>
      <c r="U173" s="113">
        <f>$E173*U$4^$F173</f>
        <v>141.46291184409412</v>
      </c>
      <c r="V173" s="31"/>
      <c r="W173" s="160">
        <v>63</v>
      </c>
      <c r="AN173" s="238"/>
      <c r="AO173" s="237"/>
      <c r="AP173"/>
      <c r="AQ173"/>
      <c r="AR173"/>
    </row>
    <row r="174" spans="1:44" ht="25.5">
      <c r="A174" s="143" t="s">
        <v>171</v>
      </c>
      <c r="B174" s="28" t="s">
        <v>128</v>
      </c>
      <c r="C174" s="33" t="s">
        <v>116</v>
      </c>
      <c r="D174" s="28" t="s">
        <v>113</v>
      </c>
      <c r="E174" s="31">
        <v>48.98</v>
      </c>
      <c r="F174" s="32">
        <v>-0.034</v>
      </c>
      <c r="G174" s="29" t="str">
        <f t="shared" si="27"/>
        <v xml:space="preserve"> </v>
      </c>
      <c r="H174" s="29"/>
      <c r="I174" s="30"/>
      <c r="J174" s="30"/>
      <c r="K174" s="108">
        <f>$E174*K$4^$F174</f>
        <v>42.39215041148662</v>
      </c>
      <c r="L174" s="31" t="str">
        <f t="shared" si="33"/>
        <v/>
      </c>
      <c r="M174" s="59"/>
      <c r="N174" s="113">
        <f>$E174*N$4^$F174</f>
        <v>53.61489347287125</v>
      </c>
      <c r="O174" s="31"/>
      <c r="P174" s="108">
        <f>$E174*P$4^$F174</f>
        <v>55.9478962608402</v>
      </c>
      <c r="Q174" s="31" t="str">
        <f t="shared" si="34"/>
        <v/>
      </c>
      <c r="R174" s="59"/>
      <c r="S174" s="113">
        <f>$E174*S$4^$F174</f>
        <v>67.80870454093406</v>
      </c>
      <c r="T174" s="31"/>
      <c r="U174" s="113">
        <f>$E174*U$4^$F174</f>
        <v>85.76013330785143</v>
      </c>
      <c r="V174" s="31"/>
      <c r="W174" s="160">
        <v>63</v>
      </c>
      <c r="AN174" s="238"/>
      <c r="AO174" s="237"/>
      <c r="AP174"/>
      <c r="AQ174"/>
      <c r="AR174"/>
    </row>
    <row r="175" spans="1:44" ht="25.5">
      <c r="A175" s="143" t="s">
        <v>171</v>
      </c>
      <c r="B175" s="28" t="s">
        <v>128</v>
      </c>
      <c r="C175" s="33" t="s">
        <v>115</v>
      </c>
      <c r="D175" s="28" t="s">
        <v>113</v>
      </c>
      <c r="E175" s="31">
        <v>27.54</v>
      </c>
      <c r="F175" s="32">
        <v>-0.092</v>
      </c>
      <c r="G175" s="29" t="str">
        <f t="shared" si="27"/>
        <v xml:space="preserve"> </v>
      </c>
      <c r="H175" s="29"/>
      <c r="I175" s="30"/>
      <c r="J175" s="30"/>
      <c r="K175" s="108">
        <f>$E175*K$4^$F175</f>
        <v>18.63008842598596</v>
      </c>
      <c r="L175" s="31" t="str">
        <f t="shared" si="33"/>
        <v/>
      </c>
      <c r="M175" s="59"/>
      <c r="N175" s="113">
        <f>$E175*N$4^$F175</f>
        <v>35.17344578116048</v>
      </c>
      <c r="O175" s="31"/>
      <c r="P175" s="108">
        <f>$E175*P$4^$F175</f>
        <v>39.47018630377906</v>
      </c>
      <c r="Q175" s="31" t="str">
        <f t="shared" si="34"/>
        <v/>
      </c>
      <c r="R175" s="59"/>
      <c r="S175" s="113">
        <f>$E175*S$4^$F175</f>
        <v>66.4071613527385</v>
      </c>
      <c r="T175" s="31"/>
      <c r="U175" s="113">
        <f>$E175*U$4^$F175</f>
        <v>125.37614615201203</v>
      </c>
      <c r="V175" s="31"/>
      <c r="W175" s="160">
        <v>63</v>
      </c>
      <c r="AN175" s="238"/>
      <c r="AO175" s="237"/>
      <c r="AP175"/>
      <c r="AQ175"/>
      <c r="AR175"/>
    </row>
    <row r="176" spans="1:44" ht="25.5">
      <c r="A176" s="143" t="s">
        <v>171</v>
      </c>
      <c r="B176" s="28" t="s">
        <v>128</v>
      </c>
      <c r="C176" s="33" t="s">
        <v>114</v>
      </c>
      <c r="D176" s="28" t="s">
        <v>113</v>
      </c>
      <c r="E176" s="31">
        <v>5.5</v>
      </c>
      <c r="F176" s="32">
        <v>-0.075</v>
      </c>
      <c r="G176" s="29" t="str">
        <f t="shared" si="27"/>
        <v xml:space="preserve"> </v>
      </c>
      <c r="H176" s="29"/>
      <c r="I176" s="30"/>
      <c r="J176" s="30"/>
      <c r="K176" s="108">
        <f>$E176*K$4^$F176</f>
        <v>3.999266419135167</v>
      </c>
      <c r="L176" s="31" t="str">
        <f t="shared" si="33"/>
        <v/>
      </c>
      <c r="M176" s="59"/>
      <c r="N176" s="113">
        <f>$E176*N$4^$F176</f>
        <v>6.713984533986741</v>
      </c>
      <c r="O176" s="31"/>
      <c r="P176" s="108">
        <f>$E176*P$4^$F176</f>
        <v>7.375397636939223</v>
      </c>
      <c r="Q176" s="31" t="str">
        <f t="shared" si="34"/>
        <v/>
      </c>
      <c r="R176" s="59"/>
      <c r="S176" s="113">
        <f>$E176*S$4^$F176</f>
        <v>11.271464213269667</v>
      </c>
      <c r="T176" s="31"/>
      <c r="U176" s="113">
        <f>$E176*U$4^$F176</f>
        <v>18.922579411361756</v>
      </c>
      <c r="V176" s="31"/>
      <c r="W176" s="160">
        <v>63</v>
      </c>
      <c r="AN176" s="238"/>
      <c r="AO176" s="237"/>
      <c r="AP176"/>
      <c r="AQ176"/>
      <c r="AR176"/>
    </row>
    <row r="177" spans="1:48" s="142" customFormat="1" ht="15">
      <c r="A177" s="166" t="s">
        <v>16</v>
      </c>
      <c r="B177" s="167"/>
      <c r="C177" s="168"/>
      <c r="D177" s="167"/>
      <c r="E177" s="169"/>
      <c r="F177" s="170"/>
      <c r="G177" s="171" t="str">
        <f t="shared" si="27"/>
        <v xml:space="preserve"> </v>
      </c>
      <c r="H177" s="179"/>
      <c r="I177" s="172"/>
      <c r="J177" s="172"/>
      <c r="K177" s="173"/>
      <c r="L177" s="169"/>
      <c r="M177" s="174"/>
      <c r="N177" s="175"/>
      <c r="O177" s="169"/>
      <c r="P177" s="173"/>
      <c r="Q177" s="169"/>
      <c r="R177" s="174"/>
      <c r="S177" s="175"/>
      <c r="T177" s="169"/>
      <c r="U177" s="175"/>
      <c r="V177" s="169"/>
      <c r="W177" s="176" t="s">
        <v>16</v>
      </c>
      <c r="X177" s="248"/>
      <c r="Y177" s="248"/>
      <c r="Z177" s="248"/>
      <c r="AA177" s="248"/>
      <c r="AB177" s="137"/>
      <c r="AC177" s="248"/>
      <c r="AD177" s="141"/>
      <c r="AE177" s="248"/>
      <c r="AF177" s="141"/>
      <c r="AG177" s="141"/>
      <c r="AH177" s="141"/>
      <c r="AI177" s="141"/>
      <c r="AJ177" s="137"/>
      <c r="AK177" s="177"/>
      <c r="AL177" s="141"/>
      <c r="AM177" s="141"/>
      <c r="AN177" s="244"/>
      <c r="AO177" s="245"/>
      <c r="AP177" s="140"/>
      <c r="AQ177" s="140"/>
      <c r="AR177" s="140"/>
      <c r="AS177" s="141"/>
      <c r="AT177" s="141"/>
      <c r="AU177" s="141"/>
      <c r="AV177" s="141"/>
    </row>
    <row r="178" spans="1:44" s="29" customFormat="1" ht="15">
      <c r="A178" s="143" t="s">
        <v>16</v>
      </c>
      <c r="B178" s="28" t="s">
        <v>168</v>
      </c>
      <c r="C178" s="33" t="s">
        <v>327</v>
      </c>
      <c r="D178" s="28" t="s">
        <v>8</v>
      </c>
      <c r="E178" s="31">
        <v>0.037</v>
      </c>
      <c r="F178" s="32">
        <v>0.849</v>
      </c>
      <c r="G178" s="29" t="str">
        <f t="shared" si="27"/>
        <v xml:space="preserve"> </v>
      </c>
      <c r="H178" s="91"/>
      <c r="I178" s="30"/>
      <c r="J178" s="30"/>
      <c r="K178" s="108">
        <v>1520</v>
      </c>
      <c r="L178" s="31" t="str">
        <f aca="true" t="shared" si="40" ref="L178">IF(COUNT(M178)=1,"±","")</f>
        <v/>
      </c>
      <c r="M178" s="59"/>
      <c r="N178" s="113">
        <f>$E178*(1000*N$4)^$F178</f>
        <v>1.3636093173475217</v>
      </c>
      <c r="O178" s="31">
        <f aca="true" t="shared" si="41" ref="O178:O181">K178/1000</f>
        <v>1.52</v>
      </c>
      <c r="P178" s="108">
        <v>1.5</v>
      </c>
      <c r="Q178" s="31" t="str">
        <f aca="true" t="shared" si="42" ref="Q178">IF(COUNT(R178)=1,"±","")</f>
        <v/>
      </c>
      <c r="R178" s="59"/>
      <c r="S178" s="113">
        <f>$E178*(1000*S$4)^$F178</f>
        <v>0.0038698128290607318</v>
      </c>
      <c r="T178" s="31">
        <f>O178/1000</f>
        <v>0.00152</v>
      </c>
      <c r="U178" s="113">
        <f>$E178*(1000*U$4)^$F178</f>
        <v>1.0982215464098694E-05</v>
      </c>
      <c r="V178" s="31">
        <f>T178/1000</f>
        <v>1.52E-06</v>
      </c>
      <c r="W178" s="160">
        <v>65</v>
      </c>
      <c r="AB178" s="28"/>
      <c r="AC178" s="30"/>
      <c r="AE178" s="30"/>
      <c r="AJ178" s="28"/>
      <c r="AK178" s="35"/>
      <c r="AN178" s="238"/>
      <c r="AO178" s="237"/>
      <c r="AP178" s="93"/>
      <c r="AQ178"/>
      <c r="AR178"/>
    </row>
    <row r="179" spans="1:44" s="29" customFormat="1" ht="15">
      <c r="A179" s="143" t="s">
        <v>16</v>
      </c>
      <c r="B179" s="28" t="s">
        <v>168</v>
      </c>
      <c r="C179" s="33" t="s">
        <v>321</v>
      </c>
      <c r="D179" s="28" t="s">
        <v>13</v>
      </c>
      <c r="E179" s="31"/>
      <c r="F179" s="32"/>
      <c r="G179" s="29" t="str">
        <f t="shared" si="27"/>
        <v xml:space="preserve"> </v>
      </c>
      <c r="I179" s="30"/>
      <c r="J179" s="30"/>
      <c r="K179" s="108">
        <v>1690</v>
      </c>
      <c r="L179" s="31" t="str">
        <f aca="true" t="shared" si="43" ref="L179">IF(COUNT(M179)=1,"±","")</f>
        <v/>
      </c>
      <c r="M179" s="59"/>
      <c r="N179" s="113"/>
      <c r="O179" s="31">
        <f t="shared" si="41"/>
        <v>1.69</v>
      </c>
      <c r="P179" s="108">
        <v>1.3</v>
      </c>
      <c r="Q179" s="31" t="str">
        <f aca="true" t="shared" si="44" ref="Q179">IF(COUNT(R179)=1,"±","")</f>
        <v/>
      </c>
      <c r="R179" s="59"/>
      <c r="S179" s="113"/>
      <c r="T179" s="31">
        <f>O179/1000</f>
        <v>0.0016899999999999999</v>
      </c>
      <c r="U179" s="113"/>
      <c r="V179" s="31">
        <f>T179/1000</f>
        <v>1.69E-06</v>
      </c>
      <c r="W179" s="160">
        <v>14</v>
      </c>
      <c r="AB179" s="28"/>
      <c r="AC179" s="30"/>
      <c r="AE179" s="30"/>
      <c r="AJ179" s="28"/>
      <c r="AK179" s="35"/>
      <c r="AN179" s="238"/>
      <c r="AO179" s="237"/>
      <c r="AP179"/>
      <c r="AQ179"/>
      <c r="AR179"/>
    </row>
    <row r="180" spans="1:44" s="29" customFormat="1" ht="15">
      <c r="A180" s="143" t="s">
        <v>16</v>
      </c>
      <c r="B180" s="28" t="s">
        <v>128</v>
      </c>
      <c r="C180" s="33" t="s">
        <v>328</v>
      </c>
      <c r="D180" s="28" t="s">
        <v>11</v>
      </c>
      <c r="E180" s="31">
        <v>0.035</v>
      </c>
      <c r="F180" s="32">
        <v>0.69</v>
      </c>
      <c r="G180" s="29" t="str">
        <f t="shared" si="27"/>
        <v xml:space="preserve"> </v>
      </c>
      <c r="I180" s="30"/>
      <c r="J180" s="30"/>
      <c r="K180" s="108">
        <f>0.0295*70000</f>
        <v>2065</v>
      </c>
      <c r="L180" s="31" t="str">
        <f aca="true" t="shared" si="45" ref="L180:L202">IF(COUNT(M180)=1,"±","")</f>
        <v/>
      </c>
      <c r="M180" s="59"/>
      <c r="N180" s="113">
        <f>$E180*(1000*N$4)^$F180</f>
        <v>0.6564258753303285</v>
      </c>
      <c r="O180" s="31">
        <f t="shared" si="41"/>
        <v>2.065</v>
      </c>
      <c r="P180" s="108"/>
      <c r="Q180" s="31" t="str">
        <f aca="true" t="shared" si="46" ref="Q180:Q202">IF(COUNT(R180)=1,"±","")</f>
        <v/>
      </c>
      <c r="R180" s="59"/>
      <c r="S180" s="113">
        <f>$E180*(1000*S$4)^$F180</f>
        <v>0.005587090317539338</v>
      </c>
      <c r="T180" s="31"/>
      <c r="U180" s="113">
        <f>$E180*(1000*U$4)^$F180</f>
        <v>4.7553850921299246E-05</v>
      </c>
      <c r="V180" s="31"/>
      <c r="W180" s="160" t="s">
        <v>558</v>
      </c>
      <c r="AB180" s="28"/>
      <c r="AC180" s="30"/>
      <c r="AE180" s="30"/>
      <c r="AJ180" s="28"/>
      <c r="AK180" s="35"/>
      <c r="AN180" s="238"/>
      <c r="AO180" s="237"/>
      <c r="AP180"/>
      <c r="AQ180"/>
      <c r="AR180"/>
    </row>
    <row r="181" spans="1:44" s="29" customFormat="1" ht="15">
      <c r="A181" s="143" t="s">
        <v>16</v>
      </c>
      <c r="B181" s="28" t="s">
        <v>145</v>
      </c>
      <c r="C181" s="33" t="s">
        <v>329</v>
      </c>
      <c r="D181" s="28" t="s">
        <v>11</v>
      </c>
      <c r="E181" s="31">
        <v>0.094</v>
      </c>
      <c r="F181" s="32">
        <v>0.75</v>
      </c>
      <c r="G181" s="29" t="str">
        <f t="shared" si="27"/>
        <v xml:space="preserve"> </v>
      </c>
      <c r="I181" s="30"/>
      <c r="J181" s="30"/>
      <c r="K181" s="108">
        <v>1450</v>
      </c>
      <c r="L181" s="31" t="str">
        <f t="shared" si="45"/>
        <v/>
      </c>
      <c r="M181" s="59"/>
      <c r="N181" s="113">
        <f>$E181*(1000*N$4)^$F181</f>
        <v>2.274842762943973</v>
      </c>
      <c r="O181" s="31">
        <f t="shared" si="41"/>
        <v>1.45</v>
      </c>
      <c r="P181" s="108"/>
      <c r="Q181" s="31" t="str">
        <f t="shared" si="46"/>
        <v/>
      </c>
      <c r="R181" s="59"/>
      <c r="S181" s="113">
        <f>$E181*(1000*S$4)^$F181</f>
        <v>0.012792380939135886</v>
      </c>
      <c r="T181" s="31">
        <f>O181/1000</f>
        <v>0.00145</v>
      </c>
      <c r="U181" s="113">
        <f>$E181*(1000*U$4)^$F181</f>
        <v>7.193684449653434E-05</v>
      </c>
      <c r="V181" s="31">
        <f>T181/1000</f>
        <v>1.4499999999999999E-06</v>
      </c>
      <c r="W181" s="160" t="s">
        <v>559</v>
      </c>
      <c r="AB181" s="28"/>
      <c r="AC181" s="30"/>
      <c r="AE181" s="30"/>
      <c r="AJ181" s="28"/>
      <c r="AK181" s="35"/>
      <c r="AN181" s="238"/>
      <c r="AO181" s="237"/>
      <c r="AP181"/>
      <c r="AQ181"/>
      <c r="AR181"/>
    </row>
    <row r="182" spans="1:44" s="54" customFormat="1" ht="15">
      <c r="A182" s="143" t="s">
        <v>16</v>
      </c>
      <c r="B182" s="28" t="s">
        <v>168</v>
      </c>
      <c r="C182" s="33" t="s">
        <v>330</v>
      </c>
      <c r="D182" s="28" t="s">
        <v>13</v>
      </c>
      <c r="E182" s="31">
        <v>0.025</v>
      </c>
      <c r="F182" s="32">
        <v>0.86</v>
      </c>
      <c r="G182" s="29" t="str">
        <f t="shared" si="27"/>
        <v xml:space="preserve"> </v>
      </c>
      <c r="H182" s="29"/>
      <c r="I182" s="30"/>
      <c r="J182" s="30"/>
      <c r="K182" s="108"/>
      <c r="L182" s="31" t="str">
        <f t="shared" si="45"/>
        <v/>
      </c>
      <c r="M182" s="59"/>
      <c r="N182" s="113">
        <f>$E182*(1000*N$4)^$F182</f>
        <v>0.9654378538871466</v>
      </c>
      <c r="O182" s="31"/>
      <c r="P182" s="108"/>
      <c r="Q182" s="31" t="str">
        <f t="shared" si="46"/>
        <v/>
      </c>
      <c r="R182" s="59"/>
      <c r="S182" s="113">
        <f>$E182*(1000*S$4)^$F182</f>
        <v>0.002539360285243533</v>
      </c>
      <c r="T182" s="31"/>
      <c r="U182" s="113">
        <f>$E182*(1000*U$4)^$F182</f>
        <v>6.679198078166387E-06</v>
      </c>
      <c r="V182" s="31"/>
      <c r="W182" s="160">
        <v>65</v>
      </c>
      <c r="X182" s="29"/>
      <c r="Y182" s="29"/>
      <c r="Z182" s="29"/>
      <c r="AA182" s="29"/>
      <c r="AB182" s="28"/>
      <c r="AC182" s="30"/>
      <c r="AD182" s="29"/>
      <c r="AE182" s="30"/>
      <c r="AF182" s="29"/>
      <c r="AG182" s="29"/>
      <c r="AH182" s="29"/>
      <c r="AI182" s="29"/>
      <c r="AJ182" s="28"/>
      <c r="AK182" s="35"/>
      <c r="AL182" s="29"/>
      <c r="AM182" s="29"/>
      <c r="AN182" s="238"/>
      <c r="AO182" s="237"/>
      <c r="AP182"/>
      <c r="AQ182"/>
      <c r="AR182"/>
    </row>
    <row r="183" spans="1:44" s="29" customFormat="1" ht="15">
      <c r="A183" s="143" t="s">
        <v>16</v>
      </c>
      <c r="B183" s="28" t="s">
        <v>145</v>
      </c>
      <c r="C183" s="33" t="s">
        <v>331</v>
      </c>
      <c r="D183" s="28" t="s">
        <v>19</v>
      </c>
      <c r="E183" s="31"/>
      <c r="F183" s="32"/>
      <c r="G183" s="29" t="str">
        <f t="shared" si="27"/>
        <v xml:space="preserve"> </v>
      </c>
      <c r="I183" s="30"/>
      <c r="J183" s="30"/>
      <c r="K183" s="108">
        <v>350</v>
      </c>
      <c r="L183" s="31" t="str">
        <f t="shared" si="45"/>
        <v/>
      </c>
      <c r="M183" s="59"/>
      <c r="N183" s="113"/>
      <c r="O183" s="31">
        <f aca="true" t="shared" si="47" ref="O183:O187">K183/1000</f>
        <v>0.35</v>
      </c>
      <c r="P183" s="108">
        <v>2</v>
      </c>
      <c r="Q183" s="31" t="str">
        <f t="shared" si="46"/>
        <v/>
      </c>
      <c r="R183" s="59"/>
      <c r="S183" s="113"/>
      <c r="T183" s="31">
        <f aca="true" t="shared" si="48" ref="T183:T187">O183/1000</f>
        <v>0.00035</v>
      </c>
      <c r="U183" s="113"/>
      <c r="V183" s="31">
        <f aca="true" t="shared" si="49" ref="V183:V187">T183/1000</f>
        <v>3.5E-07</v>
      </c>
      <c r="W183" s="160">
        <v>14</v>
      </c>
      <c r="AB183" s="28"/>
      <c r="AC183" s="30"/>
      <c r="AE183" s="30"/>
      <c r="AJ183" s="28"/>
      <c r="AK183" s="35"/>
      <c r="AN183" s="238"/>
      <c r="AO183" s="237"/>
      <c r="AP183"/>
      <c r="AQ183"/>
      <c r="AR183"/>
    </row>
    <row r="184" spans="1:44" s="29" customFormat="1" ht="15">
      <c r="A184" s="143" t="s">
        <v>16</v>
      </c>
      <c r="B184" s="28" t="s">
        <v>168</v>
      </c>
      <c r="C184" s="33" t="s">
        <v>17</v>
      </c>
      <c r="D184" s="28" t="s">
        <v>12</v>
      </c>
      <c r="E184" s="31">
        <f>9.1*10^6</f>
        <v>9100000</v>
      </c>
      <c r="F184" s="32">
        <v>0.886</v>
      </c>
      <c r="G184" s="29" t="str">
        <f t="shared" si="27"/>
        <v xml:space="preserve"> </v>
      </c>
      <c r="I184" s="30"/>
      <c r="J184" s="30"/>
      <c r="K184" s="108">
        <f>300*10^9</f>
        <v>300000000000</v>
      </c>
      <c r="L184" s="31" t="str">
        <f t="shared" si="45"/>
        <v/>
      </c>
      <c r="M184" s="59"/>
      <c r="N184" s="113">
        <f>$E184*(1000*N$4)^$F184</f>
        <v>392462581.1305306</v>
      </c>
      <c r="O184" s="31">
        <f t="shared" si="47"/>
        <v>300000000</v>
      </c>
      <c r="P184" s="108"/>
      <c r="Q184" s="31" t="str">
        <f t="shared" si="46"/>
        <v/>
      </c>
      <c r="R184" s="59"/>
      <c r="S184" s="113">
        <f>$E184*(1000*S$4)^$F184</f>
        <v>862577.7586363517</v>
      </c>
      <c r="T184" s="31">
        <f t="shared" si="48"/>
        <v>300000</v>
      </c>
      <c r="U184" s="113">
        <f>$E184*(1000*U$4)^$F184</f>
        <v>1895.8250428635115</v>
      </c>
      <c r="V184" s="31">
        <f t="shared" si="49"/>
        <v>300</v>
      </c>
      <c r="W184" s="160">
        <v>65</v>
      </c>
      <c r="AB184" s="28"/>
      <c r="AC184" s="30"/>
      <c r="AE184" s="30"/>
      <c r="AJ184" s="28"/>
      <c r="AK184" s="35"/>
      <c r="AN184" s="238"/>
      <c r="AO184" s="237"/>
      <c r="AP184"/>
      <c r="AQ184"/>
      <c r="AR184"/>
    </row>
    <row r="185" spans="1:44" s="29" customFormat="1" ht="15">
      <c r="A185" s="143" t="s">
        <v>16</v>
      </c>
      <c r="B185" s="28" t="s">
        <v>168</v>
      </c>
      <c r="C185" s="33" t="s">
        <v>332</v>
      </c>
      <c r="D185" s="28" t="s">
        <v>18</v>
      </c>
      <c r="E185" s="31"/>
      <c r="F185" s="32"/>
      <c r="G185" s="29" t="str">
        <f t="shared" si="27"/>
        <v xml:space="preserve"> </v>
      </c>
      <c r="H185" s="89"/>
      <c r="I185" s="30"/>
      <c r="J185" s="30"/>
      <c r="K185" s="108">
        <f>139*10^6</f>
        <v>139000000</v>
      </c>
      <c r="L185" s="31" t="str">
        <f t="shared" si="45"/>
        <v>±</v>
      </c>
      <c r="M185" s="59">
        <f>25*10^6</f>
        <v>25000000</v>
      </c>
      <c r="N185" s="113"/>
      <c r="O185" s="31">
        <f t="shared" si="47"/>
        <v>139000</v>
      </c>
      <c r="P185" s="108">
        <v>135</v>
      </c>
      <c r="Q185" s="31" t="str">
        <f t="shared" si="46"/>
        <v>±</v>
      </c>
      <c r="R185" s="59">
        <v>10</v>
      </c>
      <c r="S185" s="113"/>
      <c r="T185" s="31">
        <f t="shared" si="48"/>
        <v>139</v>
      </c>
      <c r="U185" s="113"/>
      <c r="V185" s="31">
        <f t="shared" si="49"/>
        <v>0.139</v>
      </c>
      <c r="W185" s="160">
        <v>68</v>
      </c>
      <c r="AB185" s="28"/>
      <c r="AC185" s="30"/>
      <c r="AE185" s="30"/>
      <c r="AJ185" s="28"/>
      <c r="AK185" s="35"/>
      <c r="AN185" s="238"/>
      <c r="AO185" s="237"/>
      <c r="AP185"/>
      <c r="AQ185"/>
      <c r="AR185"/>
    </row>
    <row r="186" spans="1:44" s="29" customFormat="1" ht="15">
      <c r="A186" s="143" t="s">
        <v>16</v>
      </c>
      <c r="B186" s="28" t="s">
        <v>145</v>
      </c>
      <c r="C186" s="33" t="s">
        <v>333</v>
      </c>
      <c r="D186" s="28" t="s">
        <v>20</v>
      </c>
      <c r="E186" s="31"/>
      <c r="F186" s="32"/>
      <c r="G186" s="29" t="str">
        <f t="shared" si="27"/>
        <v xml:space="preserve"> </v>
      </c>
      <c r="I186" s="30"/>
      <c r="J186" s="30"/>
      <c r="K186" s="108">
        <v>90</v>
      </c>
      <c r="L186" s="31" t="str">
        <f t="shared" si="45"/>
        <v>±</v>
      </c>
      <c r="M186" s="59">
        <v>17</v>
      </c>
      <c r="N186" s="113"/>
      <c r="O186" s="31">
        <f t="shared" si="47"/>
        <v>0.09</v>
      </c>
      <c r="P186" s="108">
        <v>115</v>
      </c>
      <c r="Q186" s="31" t="str">
        <f t="shared" si="46"/>
        <v>±</v>
      </c>
      <c r="R186" s="59">
        <v>7</v>
      </c>
      <c r="S186" s="113"/>
      <c r="T186" s="31">
        <f t="shared" si="48"/>
        <v>8.999999999999999E-05</v>
      </c>
      <c r="U186" s="113"/>
      <c r="V186" s="31">
        <f t="shared" si="49"/>
        <v>9E-08</v>
      </c>
      <c r="W186" s="160">
        <v>68</v>
      </c>
      <c r="AB186" s="28"/>
      <c r="AC186" s="30"/>
      <c r="AE186" s="30"/>
      <c r="AJ186" s="28"/>
      <c r="AK186" s="35"/>
      <c r="AN186" s="238"/>
      <c r="AO186" s="237"/>
      <c r="AP186"/>
      <c r="AQ186"/>
      <c r="AR186"/>
    </row>
    <row r="187" spans="1:44" s="29" customFormat="1" ht="15">
      <c r="A187" s="143" t="s">
        <v>16</v>
      </c>
      <c r="B187" s="28" t="s">
        <v>168</v>
      </c>
      <c r="C187" s="33" t="s">
        <v>334</v>
      </c>
      <c r="D187" s="28" t="s">
        <v>21</v>
      </c>
      <c r="E187" s="31"/>
      <c r="F187" s="32"/>
      <c r="G187" s="29" t="str">
        <f t="shared" si="27"/>
        <v xml:space="preserve"> </v>
      </c>
      <c r="H187" s="89"/>
      <c r="I187" s="30"/>
      <c r="J187" s="30"/>
      <c r="K187" s="108">
        <v>1.03</v>
      </c>
      <c r="L187" s="31" t="str">
        <f t="shared" si="45"/>
        <v/>
      </c>
      <c r="M187" s="59"/>
      <c r="N187" s="113"/>
      <c r="O187" s="31">
        <f t="shared" si="47"/>
        <v>0.00103</v>
      </c>
      <c r="P187" s="108"/>
      <c r="Q187" s="31" t="str">
        <f t="shared" si="46"/>
        <v/>
      </c>
      <c r="R187" s="59"/>
      <c r="S187" s="113"/>
      <c r="T187" s="31">
        <f t="shared" si="48"/>
        <v>1.03E-06</v>
      </c>
      <c r="U187" s="113"/>
      <c r="V187" s="31">
        <f t="shared" si="49"/>
        <v>1.0300000000000002E-09</v>
      </c>
      <c r="W187" s="160">
        <v>14</v>
      </c>
      <c r="AB187" s="28"/>
      <c r="AC187" s="30"/>
      <c r="AE187" s="30"/>
      <c r="AJ187" s="28"/>
      <c r="AK187" s="35"/>
      <c r="AN187" s="238"/>
      <c r="AO187" s="237"/>
      <c r="AP187"/>
      <c r="AQ187"/>
      <c r="AR187"/>
    </row>
    <row r="188" spans="1:44" s="29" customFormat="1" ht="25.5">
      <c r="A188" s="143" t="s">
        <v>16</v>
      </c>
      <c r="B188" s="28" t="s">
        <v>145</v>
      </c>
      <c r="C188" s="33" t="s">
        <v>335</v>
      </c>
      <c r="D188" s="28" t="s">
        <v>22</v>
      </c>
      <c r="E188" s="31">
        <v>1.2</v>
      </c>
      <c r="F188" s="32">
        <v>-0.14</v>
      </c>
      <c r="G188" s="29" t="str">
        <f t="shared" si="27"/>
        <v xml:space="preserve"> </v>
      </c>
      <c r="I188" s="30"/>
      <c r="J188" s="30"/>
      <c r="K188" s="108"/>
      <c r="L188" s="31" t="str">
        <f t="shared" si="45"/>
        <v/>
      </c>
      <c r="M188" s="59"/>
      <c r="N188" s="113">
        <f>$E188*(1000*N$4)^$F188</f>
        <v>0.6620145283797576</v>
      </c>
      <c r="O188" s="31"/>
      <c r="P188" s="108"/>
      <c r="Q188" s="31" t="str">
        <f t="shared" si="46"/>
        <v/>
      </c>
      <c r="R188" s="59"/>
      <c r="S188" s="113">
        <f>$E188*(1000*S$4)^$F188</f>
        <v>1.7412756241669933</v>
      </c>
      <c r="T188" s="31"/>
      <c r="U188" s="113">
        <f>$E188*(1000*U$4)^$F188</f>
        <v>4.580021539314096</v>
      </c>
      <c r="V188" s="31"/>
      <c r="W188" s="160">
        <v>69</v>
      </c>
      <c r="AB188" s="28"/>
      <c r="AC188" s="30"/>
      <c r="AE188" s="30"/>
      <c r="AJ188" s="28"/>
      <c r="AK188" s="35"/>
      <c r="AN188" s="238"/>
      <c r="AO188" s="237"/>
      <c r="AP188"/>
      <c r="AQ188"/>
      <c r="AR188"/>
    </row>
    <row r="189" spans="1:44" s="29" customFormat="1" ht="25.5">
      <c r="A189" s="143" t="s">
        <v>16</v>
      </c>
      <c r="B189" s="28" t="s">
        <v>128</v>
      </c>
      <c r="C189" s="33" t="s">
        <v>336</v>
      </c>
      <c r="D189" s="28" t="s">
        <v>23</v>
      </c>
      <c r="E189" s="31">
        <v>3.6</v>
      </c>
      <c r="F189" s="32">
        <v>-0.21</v>
      </c>
      <c r="G189" s="29" t="str">
        <f t="shared" si="27"/>
        <v xml:space="preserve"> </v>
      </c>
      <c r="I189" s="30"/>
      <c r="J189" s="30"/>
      <c r="K189" s="108"/>
      <c r="L189" s="31" t="str">
        <f t="shared" si="45"/>
        <v/>
      </c>
      <c r="M189" s="59"/>
      <c r="N189" s="113">
        <f>$E189*(1000*N$4)^$F189</f>
        <v>1.4751354921115836</v>
      </c>
      <c r="O189" s="31"/>
      <c r="P189" s="108"/>
      <c r="Q189" s="31" t="str">
        <f t="shared" si="46"/>
        <v/>
      </c>
      <c r="R189" s="59"/>
      <c r="S189" s="113">
        <f>$E189*(1000*S$4)^$F189</f>
        <v>6.292625883921099</v>
      </c>
      <c r="T189" s="31"/>
      <c r="U189" s="113">
        <f>$E189*(1000*U$4)^$F189</f>
        <v>26.843053215615086</v>
      </c>
      <c r="V189" s="31"/>
      <c r="W189" s="160">
        <v>69</v>
      </c>
      <c r="AB189" s="28"/>
      <c r="AC189" s="30"/>
      <c r="AE189" s="30"/>
      <c r="AJ189" s="28"/>
      <c r="AK189" s="35"/>
      <c r="AN189" s="238"/>
      <c r="AO189" s="237"/>
      <c r="AP189"/>
      <c r="AQ189"/>
      <c r="AR189"/>
    </row>
    <row r="190" spans="1:44" s="29" customFormat="1" ht="15">
      <c r="A190" s="143" t="s">
        <v>16</v>
      </c>
      <c r="B190" s="28" t="s">
        <v>145</v>
      </c>
      <c r="C190" s="33" t="s">
        <v>337</v>
      </c>
      <c r="D190" s="28" t="s">
        <v>28</v>
      </c>
      <c r="E190" s="31"/>
      <c r="F190" s="32"/>
      <c r="G190" s="29" t="str">
        <f t="shared" si="27"/>
        <v xml:space="preserve"> </v>
      </c>
      <c r="I190" s="30"/>
      <c r="J190" s="30" t="s">
        <v>27</v>
      </c>
      <c r="K190" s="108">
        <v>50</v>
      </c>
      <c r="L190" s="31" t="str">
        <f t="shared" si="45"/>
        <v/>
      </c>
      <c r="M190" s="59"/>
      <c r="N190" s="113"/>
      <c r="O190" s="31">
        <f>K190/1000</f>
        <v>0.05</v>
      </c>
      <c r="P190" s="108"/>
      <c r="Q190" s="31" t="str">
        <f t="shared" si="46"/>
        <v/>
      </c>
      <c r="R190" s="59"/>
      <c r="S190" s="113"/>
      <c r="T190" s="31">
        <f>O190/1000</f>
        <v>5E-05</v>
      </c>
      <c r="U190" s="113"/>
      <c r="V190" s="31">
        <f>T190/1000</f>
        <v>5.0000000000000004E-08</v>
      </c>
      <c r="W190" s="160">
        <v>70</v>
      </c>
      <c r="AB190" s="28"/>
      <c r="AC190" s="30"/>
      <c r="AE190" s="30"/>
      <c r="AJ190" s="28"/>
      <c r="AK190" s="35"/>
      <c r="AN190" s="238"/>
      <c r="AO190" s="237"/>
      <c r="AP190"/>
      <c r="AQ190"/>
      <c r="AR190"/>
    </row>
    <row r="191" spans="1:44" s="29" customFormat="1" ht="15">
      <c r="A191" s="143" t="s">
        <v>16</v>
      </c>
      <c r="B191" s="28" t="s">
        <v>145</v>
      </c>
      <c r="C191" s="33" t="s">
        <v>35</v>
      </c>
      <c r="D191" s="28"/>
      <c r="E191" s="31"/>
      <c r="F191" s="32"/>
      <c r="G191" s="29" t="str">
        <f t="shared" si="27"/>
        <v xml:space="preserve"> </v>
      </c>
      <c r="I191" s="30"/>
      <c r="J191" s="30"/>
      <c r="K191" s="108"/>
      <c r="L191" s="31" t="str">
        <f t="shared" si="45"/>
        <v/>
      </c>
      <c r="M191" s="59"/>
      <c r="N191" s="113"/>
      <c r="O191" s="31"/>
      <c r="P191" s="108"/>
      <c r="Q191" s="31" t="str">
        <f t="shared" si="46"/>
        <v/>
      </c>
      <c r="R191" s="59"/>
      <c r="S191" s="113"/>
      <c r="T191" s="31"/>
      <c r="U191" s="113"/>
      <c r="V191" s="31"/>
      <c r="W191" s="159"/>
      <c r="AB191" s="28"/>
      <c r="AC191" s="30"/>
      <c r="AE191" s="30"/>
      <c r="AJ191" s="28"/>
      <c r="AK191" s="35"/>
      <c r="AN191" s="236"/>
      <c r="AO191" s="237"/>
      <c r="AP191"/>
      <c r="AQ191"/>
      <c r="AR191"/>
    </row>
    <row r="192" spans="1:44" s="29" customFormat="1" ht="15">
      <c r="A192" s="143" t="s">
        <v>16</v>
      </c>
      <c r="B192" s="28" t="s">
        <v>145</v>
      </c>
      <c r="C192" s="33" t="s">
        <v>29</v>
      </c>
      <c r="D192" s="28" t="s">
        <v>11</v>
      </c>
      <c r="E192" s="31">
        <v>0.05</v>
      </c>
      <c r="F192" s="32">
        <v>1.84</v>
      </c>
      <c r="G192" s="29" t="str">
        <f t="shared" si="27"/>
        <v xml:space="preserve"> </v>
      </c>
      <c r="I192" s="30"/>
      <c r="J192" s="30" t="s">
        <v>36</v>
      </c>
      <c r="K192" s="108">
        <f>4.9*70</f>
        <v>343</v>
      </c>
      <c r="L192" s="31" t="str">
        <f t="shared" si="45"/>
        <v/>
      </c>
      <c r="M192" s="59"/>
      <c r="N192" s="113">
        <f aca="true" t="shared" si="50" ref="N192:N197">$E192*(N$4)^$F192</f>
        <v>0.00037493017793230375</v>
      </c>
      <c r="O192" s="31">
        <f aca="true" t="shared" si="51" ref="O192:O197">K192/1000</f>
        <v>0.343</v>
      </c>
      <c r="P192" s="108"/>
      <c r="Q192" s="31" t="str">
        <f t="shared" si="46"/>
        <v/>
      </c>
      <c r="R192" s="59"/>
      <c r="S192" s="113">
        <f aca="true" t="shared" si="52" ref="S192:S197">$E192*(S$4)^$F192</f>
        <v>1.132271035877293E-09</v>
      </c>
      <c r="T192" s="31">
        <f aca="true" t="shared" si="53" ref="T192:T197">O192/1000</f>
        <v>0.00034300000000000004</v>
      </c>
      <c r="U192" s="113">
        <f aca="true" t="shared" si="54" ref="U192:U197">$E192*(U$4)^$F192</f>
        <v>3.4194038627590024E-15</v>
      </c>
      <c r="V192" s="31">
        <f aca="true" t="shared" si="55" ref="V192:V197">T192/1000</f>
        <v>3.4300000000000004E-07</v>
      </c>
      <c r="W192" s="160">
        <v>71</v>
      </c>
      <c r="AB192" s="28"/>
      <c r="AC192" s="30"/>
      <c r="AE192" s="30"/>
      <c r="AJ192" s="28"/>
      <c r="AK192" s="35"/>
      <c r="AN192" s="238"/>
      <c r="AO192" s="237"/>
      <c r="AP192"/>
      <c r="AQ192"/>
      <c r="AR192"/>
    </row>
    <row r="193" spans="1:44" s="29" customFormat="1" ht="15">
      <c r="A193" s="143" t="s">
        <v>16</v>
      </c>
      <c r="B193" s="28" t="s">
        <v>145</v>
      </c>
      <c r="C193" s="33" t="s">
        <v>30</v>
      </c>
      <c r="D193" s="28" t="s">
        <v>11</v>
      </c>
      <c r="E193" s="31">
        <v>0.07</v>
      </c>
      <c r="F193" s="32">
        <v>1.53</v>
      </c>
      <c r="G193" s="29" t="str">
        <f t="shared" si="27"/>
        <v xml:space="preserve"> </v>
      </c>
      <c r="I193" s="30"/>
      <c r="J193" s="30" t="s">
        <v>36</v>
      </c>
      <c r="K193" s="108">
        <f>2*70</f>
        <v>140</v>
      </c>
      <c r="L193" s="31" t="str">
        <f t="shared" si="45"/>
        <v/>
      </c>
      <c r="M193" s="59"/>
      <c r="N193" s="113">
        <f t="shared" si="50"/>
        <v>0.0011970107239307858</v>
      </c>
      <c r="O193" s="31">
        <f t="shared" si="51"/>
        <v>0.14</v>
      </c>
      <c r="P193" s="108"/>
      <c r="Q193" s="31" t="str">
        <f t="shared" si="46"/>
        <v/>
      </c>
      <c r="R193" s="59"/>
      <c r="S193" s="113">
        <f t="shared" si="52"/>
        <v>3.076791316720792E-08</v>
      </c>
      <c r="T193" s="31">
        <f t="shared" si="53"/>
        <v>0.00014000000000000001</v>
      </c>
      <c r="U193" s="113">
        <f t="shared" si="54"/>
        <v>7.90857142495898E-13</v>
      </c>
      <c r="V193" s="31">
        <f t="shared" si="55"/>
        <v>1.4E-07</v>
      </c>
      <c r="W193" s="160">
        <v>71</v>
      </c>
      <c r="AB193" s="28"/>
      <c r="AC193" s="30"/>
      <c r="AE193" s="30"/>
      <c r="AJ193" s="28"/>
      <c r="AK193" s="35"/>
      <c r="AN193" s="238"/>
      <c r="AO193" s="237"/>
      <c r="AP193"/>
      <c r="AQ193"/>
      <c r="AR193"/>
    </row>
    <row r="194" spans="1:44" s="29" customFormat="1" ht="15">
      <c r="A194" s="143" t="s">
        <v>16</v>
      </c>
      <c r="B194" s="28" t="s">
        <v>145</v>
      </c>
      <c r="C194" s="33" t="s">
        <v>31</v>
      </c>
      <c r="D194" s="28" t="s">
        <v>11</v>
      </c>
      <c r="E194" s="31">
        <v>36.3</v>
      </c>
      <c r="F194" s="32">
        <v>1.31</v>
      </c>
      <c r="G194" s="29" t="str">
        <f t="shared" si="27"/>
        <v xml:space="preserve"> </v>
      </c>
      <c r="I194" s="30"/>
      <c r="J194" s="30" t="s">
        <v>36</v>
      </c>
      <c r="K194" s="108">
        <f>7*70</f>
        <v>490</v>
      </c>
      <c r="L194" s="31" t="str">
        <f t="shared" si="45"/>
        <v/>
      </c>
      <c r="M194" s="59"/>
      <c r="N194" s="113">
        <f t="shared" si="50"/>
        <v>1.1142561952966266</v>
      </c>
      <c r="O194" s="31">
        <f t="shared" si="51"/>
        <v>0.49</v>
      </c>
      <c r="P194" s="108"/>
      <c r="Q194" s="31" t="str">
        <f t="shared" si="46"/>
        <v/>
      </c>
      <c r="R194" s="59"/>
      <c r="S194" s="113">
        <f t="shared" si="52"/>
        <v>0.00013091368794302283</v>
      </c>
      <c r="T194" s="31">
        <f t="shared" si="53"/>
        <v>0.00049</v>
      </c>
      <c r="U194" s="113">
        <f t="shared" si="54"/>
        <v>1.5381017187237417E-08</v>
      </c>
      <c r="V194" s="31">
        <f t="shared" si="55"/>
        <v>4.9E-07</v>
      </c>
      <c r="W194" s="160">
        <v>71</v>
      </c>
      <c r="AB194" s="28"/>
      <c r="AC194" s="30"/>
      <c r="AE194" s="30"/>
      <c r="AJ194" s="28"/>
      <c r="AK194" s="35"/>
      <c r="AN194" s="238"/>
      <c r="AO194" s="237"/>
      <c r="AP194"/>
      <c r="AQ194"/>
      <c r="AR194"/>
    </row>
    <row r="195" spans="1:44" s="29" customFormat="1" ht="15">
      <c r="A195" s="143" t="s">
        <v>16</v>
      </c>
      <c r="B195" s="28" t="s">
        <v>145</v>
      </c>
      <c r="C195" s="33" t="s">
        <v>32</v>
      </c>
      <c r="D195" s="28" t="s">
        <v>11</v>
      </c>
      <c r="E195" s="31">
        <v>100</v>
      </c>
      <c r="F195" s="32">
        <v>1.64</v>
      </c>
      <c r="G195" s="29" t="str">
        <f t="shared" si="27"/>
        <v xml:space="preserve"> </v>
      </c>
      <c r="I195" s="30"/>
      <c r="J195" s="30" t="s">
        <v>36</v>
      </c>
      <c r="K195" s="108">
        <f>11*70</f>
        <v>770</v>
      </c>
      <c r="L195" s="31" t="str">
        <f t="shared" si="45"/>
        <v/>
      </c>
      <c r="M195" s="59"/>
      <c r="N195" s="113">
        <f t="shared" si="50"/>
        <v>1.276323558688443</v>
      </c>
      <c r="O195" s="31">
        <f t="shared" si="51"/>
        <v>0.77</v>
      </c>
      <c r="P195" s="108"/>
      <c r="Q195" s="31" t="str">
        <f t="shared" si="46"/>
        <v/>
      </c>
      <c r="R195" s="59"/>
      <c r="S195" s="113">
        <f t="shared" si="52"/>
        <v>1.5344784216754453E-05</v>
      </c>
      <c r="T195" s="31">
        <f t="shared" si="53"/>
        <v>0.0007700000000000001</v>
      </c>
      <c r="U195" s="113">
        <f t="shared" si="54"/>
        <v>1.8448488320682542E-10</v>
      </c>
      <c r="V195" s="31">
        <f t="shared" si="55"/>
        <v>7.7E-07</v>
      </c>
      <c r="W195" s="160">
        <v>71</v>
      </c>
      <c r="AB195" s="28"/>
      <c r="AC195" s="30"/>
      <c r="AE195" s="30"/>
      <c r="AJ195" s="28"/>
      <c r="AK195" s="35"/>
      <c r="AN195" s="238"/>
      <c r="AO195" s="237"/>
      <c r="AP195"/>
      <c r="AQ195"/>
      <c r="AR195"/>
    </row>
    <row r="196" spans="1:44" s="29" customFormat="1" ht="15">
      <c r="A196" s="143" t="s">
        <v>16</v>
      </c>
      <c r="B196" s="28" t="s">
        <v>145</v>
      </c>
      <c r="C196" s="33" t="s">
        <v>33</v>
      </c>
      <c r="D196" s="28" t="s">
        <v>11</v>
      </c>
      <c r="E196" s="31">
        <v>0.03</v>
      </c>
      <c r="F196" s="32">
        <v>1.71</v>
      </c>
      <c r="G196" s="29" t="str">
        <f t="shared" si="27"/>
        <v xml:space="preserve"> </v>
      </c>
      <c r="I196" s="30"/>
      <c r="J196" s="30" t="s">
        <v>36</v>
      </c>
      <c r="K196" s="108">
        <f>0.61*70</f>
        <v>42.699999999999996</v>
      </c>
      <c r="L196" s="31" t="str">
        <f t="shared" si="45"/>
        <v/>
      </c>
      <c r="M196" s="59"/>
      <c r="N196" s="113">
        <f t="shared" si="50"/>
        <v>0.00031786221333699594</v>
      </c>
      <c r="O196" s="31">
        <f t="shared" si="51"/>
        <v>0.042699999999999995</v>
      </c>
      <c r="P196" s="108"/>
      <c r="Q196" s="31" t="str">
        <f t="shared" si="46"/>
        <v/>
      </c>
      <c r="R196" s="59"/>
      <c r="S196" s="113">
        <f t="shared" si="52"/>
        <v>2.356345140692924E-09</v>
      </c>
      <c r="T196" s="31">
        <f t="shared" si="53"/>
        <v>4.2699999999999994E-05</v>
      </c>
      <c r="U196" s="113">
        <f t="shared" si="54"/>
        <v>1.7467827848353147E-14</v>
      </c>
      <c r="V196" s="31">
        <f t="shared" si="55"/>
        <v>4.269999999999999E-08</v>
      </c>
      <c r="W196" s="160">
        <v>71</v>
      </c>
      <c r="AB196" s="28"/>
      <c r="AC196" s="30"/>
      <c r="AE196" s="30"/>
      <c r="AJ196" s="28"/>
      <c r="AK196" s="35"/>
      <c r="AN196" s="238"/>
      <c r="AO196" s="237"/>
      <c r="AP196"/>
      <c r="AQ196"/>
      <c r="AR196"/>
    </row>
    <row r="197" spans="1:44" s="29" customFormat="1" ht="15">
      <c r="A197" s="143" t="s">
        <v>16</v>
      </c>
      <c r="B197" s="28" t="s">
        <v>145</v>
      </c>
      <c r="C197" s="33" t="s">
        <v>34</v>
      </c>
      <c r="D197" s="28" t="s">
        <v>11</v>
      </c>
      <c r="E197" s="31">
        <v>103</v>
      </c>
      <c r="F197" s="32">
        <v>1.51</v>
      </c>
      <c r="G197" s="29" t="str">
        <f t="shared" si="27"/>
        <v xml:space="preserve"> </v>
      </c>
      <c r="I197" s="30"/>
      <c r="J197" s="30" t="s">
        <v>36</v>
      </c>
      <c r="K197" s="108">
        <f>2.7*70</f>
        <v>189</v>
      </c>
      <c r="L197" s="31" t="str">
        <f t="shared" si="45"/>
        <v/>
      </c>
      <c r="M197" s="59"/>
      <c r="N197" s="113">
        <f t="shared" si="50"/>
        <v>1.8575275559408015</v>
      </c>
      <c r="O197" s="31">
        <f t="shared" si="51"/>
        <v>0.189</v>
      </c>
      <c r="P197" s="108"/>
      <c r="Q197" s="31" t="str">
        <f t="shared" si="46"/>
        <v/>
      </c>
      <c r="R197" s="59"/>
      <c r="S197" s="113">
        <f t="shared" si="52"/>
        <v>5.481952461879553E-05</v>
      </c>
      <c r="T197" s="31">
        <f t="shared" si="53"/>
        <v>0.000189</v>
      </c>
      <c r="U197" s="113">
        <f t="shared" si="54"/>
        <v>1.6178388685645426E-09</v>
      </c>
      <c r="V197" s="31">
        <f t="shared" si="55"/>
        <v>1.89E-07</v>
      </c>
      <c r="W197" s="160">
        <v>71</v>
      </c>
      <c r="AB197" s="28"/>
      <c r="AC197" s="30"/>
      <c r="AE197" s="30"/>
      <c r="AJ197" s="28"/>
      <c r="AK197" s="35"/>
      <c r="AN197" s="238"/>
      <c r="AO197" s="237"/>
      <c r="AP197"/>
      <c r="AQ197"/>
      <c r="AR197"/>
    </row>
    <row r="198" spans="1:44" s="29" customFormat="1" ht="25.5">
      <c r="A198" s="143" t="s">
        <v>16</v>
      </c>
      <c r="B198" s="28" t="s">
        <v>145</v>
      </c>
      <c r="C198" s="33" t="s">
        <v>37</v>
      </c>
      <c r="D198" s="28" t="s">
        <v>11</v>
      </c>
      <c r="E198" s="31"/>
      <c r="F198" s="32"/>
      <c r="G198" s="29" t="str">
        <f t="shared" si="27"/>
        <v xml:space="preserve"> </v>
      </c>
      <c r="I198" s="30"/>
      <c r="J198" s="30" t="s">
        <v>468</v>
      </c>
      <c r="K198" s="108">
        <f>81.6*(70/84.2)</f>
        <v>67.83847980997623</v>
      </c>
      <c r="L198" s="31" t="str">
        <f t="shared" si="45"/>
        <v/>
      </c>
      <c r="M198" s="59"/>
      <c r="N198" s="113"/>
      <c r="O198" s="31"/>
      <c r="P198" s="108"/>
      <c r="Q198" s="31" t="str">
        <f t="shared" si="46"/>
        <v/>
      </c>
      <c r="R198" s="59"/>
      <c r="S198" s="113"/>
      <c r="T198" s="31"/>
      <c r="U198" s="113"/>
      <c r="V198" s="31"/>
      <c r="W198" s="160">
        <v>61</v>
      </c>
      <c r="AB198" s="28"/>
      <c r="AC198" s="30"/>
      <c r="AE198" s="30"/>
      <c r="AJ198" s="28"/>
      <c r="AK198" s="35"/>
      <c r="AN198" s="238"/>
      <c r="AO198" s="237"/>
      <c r="AP198"/>
      <c r="AQ198"/>
      <c r="AR198"/>
    </row>
    <row r="199" spans="1:44" s="29" customFormat="1" ht="25.5">
      <c r="A199" s="143" t="s">
        <v>16</v>
      </c>
      <c r="B199" s="28" t="s">
        <v>145</v>
      </c>
      <c r="C199" s="33" t="s">
        <v>38</v>
      </c>
      <c r="D199" s="28" t="s">
        <v>11</v>
      </c>
      <c r="E199" s="31"/>
      <c r="F199" s="32"/>
      <c r="G199" s="29" t="str">
        <f t="shared" si="27"/>
        <v xml:space="preserve"> </v>
      </c>
      <c r="I199" s="30"/>
      <c r="J199" s="30" t="s">
        <v>468</v>
      </c>
      <c r="K199" s="108">
        <f>415*(70/67.9)</f>
        <v>427.8350515463917</v>
      </c>
      <c r="L199" s="31" t="str">
        <f t="shared" si="45"/>
        <v/>
      </c>
      <c r="M199" s="59"/>
      <c r="N199" s="113"/>
      <c r="O199" s="31"/>
      <c r="P199" s="108"/>
      <c r="Q199" s="31" t="str">
        <f t="shared" si="46"/>
        <v/>
      </c>
      <c r="R199" s="59"/>
      <c r="S199" s="113"/>
      <c r="T199" s="31"/>
      <c r="U199" s="113"/>
      <c r="V199" s="31"/>
      <c r="W199" s="160">
        <v>61</v>
      </c>
      <c r="AB199" s="28"/>
      <c r="AC199" s="30"/>
      <c r="AE199" s="30"/>
      <c r="AJ199" s="28"/>
      <c r="AK199" s="35"/>
      <c r="AN199" s="238"/>
      <c r="AO199" s="237"/>
      <c r="AP199"/>
      <c r="AQ199"/>
      <c r="AR199"/>
    </row>
    <row r="200" spans="1:44" s="29" customFormat="1" ht="25.5">
      <c r="A200" s="143" t="s">
        <v>16</v>
      </c>
      <c r="B200" s="28" t="s">
        <v>145</v>
      </c>
      <c r="C200" s="33" t="s">
        <v>39</v>
      </c>
      <c r="D200" s="28" t="s">
        <v>11</v>
      </c>
      <c r="E200" s="31"/>
      <c r="F200" s="32"/>
      <c r="G200" s="29" t="str">
        <f t="shared" si="27"/>
        <v xml:space="preserve"> </v>
      </c>
      <c r="I200" s="30"/>
      <c r="J200" s="30" t="s">
        <v>468</v>
      </c>
      <c r="K200" s="108">
        <f>516*(70/80.9)</f>
        <v>446.4771322620519</v>
      </c>
      <c r="L200" s="31" t="str">
        <f t="shared" si="45"/>
        <v/>
      </c>
      <c r="M200" s="59"/>
      <c r="N200" s="113"/>
      <c r="O200" s="31"/>
      <c r="P200" s="108"/>
      <c r="Q200" s="31" t="str">
        <f t="shared" si="46"/>
        <v/>
      </c>
      <c r="R200" s="59"/>
      <c r="S200" s="113"/>
      <c r="T200" s="31"/>
      <c r="U200" s="113"/>
      <c r="V200" s="31"/>
      <c r="W200" s="160">
        <v>61</v>
      </c>
      <c r="AB200" s="28"/>
      <c r="AC200" s="30"/>
      <c r="AE200" s="30"/>
      <c r="AJ200" s="28"/>
      <c r="AK200" s="35"/>
      <c r="AN200" s="238"/>
      <c r="AO200" s="237"/>
      <c r="AP200"/>
      <c r="AQ200"/>
      <c r="AR200"/>
    </row>
    <row r="201" spans="1:44" s="29" customFormat="1" ht="15">
      <c r="A201" s="143" t="s">
        <v>16</v>
      </c>
      <c r="B201" s="28" t="s">
        <v>145</v>
      </c>
      <c r="C201" s="33" t="s">
        <v>29</v>
      </c>
      <c r="D201" s="28" t="s">
        <v>11</v>
      </c>
      <c r="E201" s="31">
        <f>0.00816*1000</f>
        <v>8.16</v>
      </c>
      <c r="F201" s="32">
        <v>0.885</v>
      </c>
      <c r="G201" s="29" t="str">
        <f t="shared" si="27"/>
        <v xml:space="preserve"> </v>
      </c>
      <c r="I201" s="30"/>
      <c r="J201" s="30"/>
      <c r="K201" s="108"/>
      <c r="L201" s="31" t="str">
        <f t="shared" si="45"/>
        <v/>
      </c>
      <c r="M201" s="59"/>
      <c r="N201" s="113">
        <f>$E201*(N$4)^$F201</f>
        <v>0.7755359318071688</v>
      </c>
      <c r="O201" s="31"/>
      <c r="P201" s="108"/>
      <c r="Q201" s="31" t="str">
        <f t="shared" si="46"/>
        <v/>
      </c>
      <c r="R201" s="59"/>
      <c r="S201" s="113">
        <f>$E201*(10*S$4)^$F201</f>
        <v>0.013170489734475288</v>
      </c>
      <c r="T201" s="31"/>
      <c r="U201" s="113">
        <f>$E201*(10*U$4)^$F201</f>
        <v>2.9147541154282583E-05</v>
      </c>
      <c r="V201" s="31"/>
      <c r="W201" s="160">
        <v>66</v>
      </c>
      <c r="AB201" s="28"/>
      <c r="AC201" s="30"/>
      <c r="AE201" s="30"/>
      <c r="AJ201" s="28"/>
      <c r="AK201" s="35"/>
      <c r="AN201" s="238"/>
      <c r="AO201" s="237"/>
      <c r="AP201"/>
      <c r="AQ201"/>
      <c r="AR201"/>
    </row>
    <row r="202" spans="1:44" s="29" customFormat="1" ht="15">
      <c r="A202" s="143" t="s">
        <v>16</v>
      </c>
      <c r="B202" s="28" t="s">
        <v>145</v>
      </c>
      <c r="C202" s="33" t="s">
        <v>40</v>
      </c>
      <c r="D202" s="28" t="s">
        <v>11</v>
      </c>
      <c r="E202" s="31">
        <v>47.1</v>
      </c>
      <c r="F202" s="32">
        <v>0.915</v>
      </c>
      <c r="G202" s="29" t="str">
        <f t="shared" si="27"/>
        <v xml:space="preserve"> </v>
      </c>
      <c r="I202" s="30"/>
      <c r="J202" s="30"/>
      <c r="K202" s="108"/>
      <c r="L202" s="31" t="str">
        <f t="shared" si="45"/>
        <v/>
      </c>
      <c r="M202" s="59"/>
      <c r="N202" s="113">
        <f>$E202*(N$4)^$F202</f>
        <v>4.133192319987597</v>
      </c>
      <c r="O202" s="31"/>
      <c r="P202" s="108"/>
      <c r="Q202" s="31" t="str">
        <f t="shared" si="46"/>
        <v/>
      </c>
      <c r="R202" s="59"/>
      <c r="S202" s="113">
        <f>$E202*(1000*S$4)^$F202</f>
        <v>4.133192319987597</v>
      </c>
      <c r="T202" s="31"/>
      <c r="U202" s="113">
        <f>$E202*(1000*U$4)^$F202</f>
        <v>0.007435079451059369</v>
      </c>
      <c r="V202" s="31"/>
      <c r="W202" s="160">
        <v>66</v>
      </c>
      <c r="AB202" s="28"/>
      <c r="AC202" s="30"/>
      <c r="AE202" s="30"/>
      <c r="AJ202" s="28"/>
      <c r="AK202" s="35"/>
      <c r="AN202" s="238"/>
      <c r="AO202" s="237"/>
      <c r="AP202"/>
      <c r="AQ202"/>
      <c r="AR202"/>
    </row>
    <row r="203" spans="1:48" s="142" customFormat="1" ht="15">
      <c r="A203" s="166" t="s">
        <v>83</v>
      </c>
      <c r="B203" s="167"/>
      <c r="C203" s="168"/>
      <c r="D203" s="167"/>
      <c r="E203" s="169"/>
      <c r="F203" s="170"/>
      <c r="G203" s="171" t="str">
        <f aca="true" t="shared" si="56" ref="G203:G266">IF(H203=""," ","+/-")</f>
        <v xml:space="preserve"> </v>
      </c>
      <c r="H203" s="180"/>
      <c r="I203" s="172"/>
      <c r="J203" s="172"/>
      <c r="K203" s="173"/>
      <c r="L203" s="169"/>
      <c r="M203" s="174"/>
      <c r="N203" s="175"/>
      <c r="O203" s="169"/>
      <c r="P203" s="173"/>
      <c r="Q203" s="169"/>
      <c r="R203" s="174"/>
      <c r="S203" s="175"/>
      <c r="T203" s="169"/>
      <c r="U203" s="175"/>
      <c r="V203" s="169"/>
      <c r="W203" s="176" t="s">
        <v>83</v>
      </c>
      <c r="X203" s="141"/>
      <c r="Y203" s="141"/>
      <c r="Z203" s="141"/>
      <c r="AA203" s="141"/>
      <c r="AB203" s="137"/>
      <c r="AC203" s="177"/>
      <c r="AD203" s="177"/>
      <c r="AE203" s="248"/>
      <c r="AF203" s="141"/>
      <c r="AG203" s="141"/>
      <c r="AH203" s="141"/>
      <c r="AI203" s="141"/>
      <c r="AJ203" s="137"/>
      <c r="AK203" s="177"/>
      <c r="AL203" s="141"/>
      <c r="AM203" s="141"/>
      <c r="AN203" s="244"/>
      <c r="AO203" s="245"/>
      <c r="AP203" s="140"/>
      <c r="AQ203" s="140"/>
      <c r="AR203" s="140"/>
      <c r="AS203" s="141"/>
      <c r="AT203" s="141"/>
      <c r="AU203" s="141"/>
      <c r="AV203" s="141"/>
    </row>
    <row r="204" spans="1:44" s="29" customFormat="1" ht="15">
      <c r="A204" s="143" t="s">
        <v>83</v>
      </c>
      <c r="B204" s="28" t="s">
        <v>168</v>
      </c>
      <c r="C204" s="153"/>
      <c r="D204" s="28"/>
      <c r="E204" s="31"/>
      <c r="F204" s="32"/>
      <c r="G204" s="29" t="str">
        <f t="shared" si="56"/>
        <v xml:space="preserve"> </v>
      </c>
      <c r="I204" s="30"/>
      <c r="J204" s="45" t="s">
        <v>81</v>
      </c>
      <c r="K204" s="108"/>
      <c r="L204" s="31" t="str">
        <f aca="true" t="shared" si="57" ref="L204:L241">IF(COUNT(M204)=1,"±","")</f>
        <v/>
      </c>
      <c r="M204" s="59"/>
      <c r="N204" s="113"/>
      <c r="O204" s="31"/>
      <c r="P204" s="108"/>
      <c r="Q204" s="31" t="str">
        <f aca="true" t="shared" si="58" ref="Q204:Q241">IF(COUNT(R204)=1,"±","")</f>
        <v/>
      </c>
      <c r="R204" s="84" t="s">
        <v>82</v>
      </c>
      <c r="S204" s="113"/>
      <c r="T204" s="31"/>
      <c r="U204" s="113"/>
      <c r="V204" s="31"/>
      <c r="W204" s="159"/>
      <c r="AB204" s="28"/>
      <c r="AE204" s="30"/>
      <c r="AJ204" s="28"/>
      <c r="AK204" s="35"/>
      <c r="AN204" s="236"/>
      <c r="AO204" s="237"/>
      <c r="AP204"/>
      <c r="AQ204"/>
      <c r="AR204"/>
    </row>
    <row r="205" spans="1:44" s="29" customFormat="1" ht="38.25">
      <c r="A205" s="143" t="s">
        <v>83</v>
      </c>
      <c r="B205" s="28" t="s">
        <v>168</v>
      </c>
      <c r="C205" s="33" t="s">
        <v>84</v>
      </c>
      <c r="D205" s="28" t="s">
        <v>13</v>
      </c>
      <c r="E205" s="31">
        <v>53.5</v>
      </c>
      <c r="F205" s="32">
        <v>1.06</v>
      </c>
      <c r="G205" s="29" t="str">
        <f t="shared" si="56"/>
        <v xml:space="preserve"> </v>
      </c>
      <c r="I205" s="30" t="s">
        <v>80</v>
      </c>
      <c r="J205" s="30"/>
      <c r="K205" s="108">
        <v>5500</v>
      </c>
      <c r="L205" s="31" t="str">
        <f t="shared" si="57"/>
        <v>±</v>
      </c>
      <c r="M205" s="59">
        <v>500</v>
      </c>
      <c r="N205" s="113">
        <f aca="true" t="shared" si="59" ref="N205:N210">$E205*N$4^$F205</f>
        <v>3.192697001936014</v>
      </c>
      <c r="O205" s="31">
        <f aca="true" t="shared" si="60" ref="O205:O214">K205/1000</f>
        <v>5.5</v>
      </c>
      <c r="P205" s="108">
        <v>9.5</v>
      </c>
      <c r="Q205" s="31" t="str">
        <f t="shared" si="58"/>
        <v/>
      </c>
      <c r="R205" s="59"/>
      <c r="S205" s="113">
        <f aca="true" t="shared" si="61" ref="S205:S218">$E205*S$4^$F205</f>
        <v>0.0021093939906526187</v>
      </c>
      <c r="T205" s="31">
        <f aca="true" t="shared" si="62" ref="T205:T214">K205*10^-6</f>
        <v>0.0055</v>
      </c>
      <c r="U205" s="113">
        <f aca="true" t="shared" si="63" ref="U205:U218">$E205*U$4^$F205</f>
        <v>1.3936627888907818E-06</v>
      </c>
      <c r="V205" s="31">
        <f aca="true" t="shared" si="64" ref="V205:V214">K205*10^-9</f>
        <v>5.500000000000001E-06</v>
      </c>
      <c r="W205" s="160">
        <v>72</v>
      </c>
      <c r="AB205" s="28"/>
      <c r="AE205" s="30"/>
      <c r="AJ205" s="28"/>
      <c r="AK205" s="35"/>
      <c r="AN205" s="238"/>
      <c r="AO205" s="237"/>
      <c r="AP205"/>
      <c r="AQ205"/>
      <c r="AR205"/>
    </row>
    <row r="206" spans="1:44" s="29" customFormat="1" ht="38.25">
      <c r="A206" s="143" t="s">
        <v>83</v>
      </c>
      <c r="B206" s="28" t="s">
        <v>168</v>
      </c>
      <c r="C206" s="33" t="s">
        <v>85</v>
      </c>
      <c r="D206" s="28" t="s">
        <v>13</v>
      </c>
      <c r="E206" s="31">
        <v>24.1</v>
      </c>
      <c r="F206" s="32">
        <v>1.13</v>
      </c>
      <c r="G206" s="29" t="str">
        <f t="shared" si="56"/>
        <v xml:space="preserve"> </v>
      </c>
      <c r="I206" s="30" t="s">
        <v>80</v>
      </c>
      <c r="J206" s="30"/>
      <c r="K206" s="108">
        <v>3050</v>
      </c>
      <c r="L206" s="31" t="str">
        <f t="shared" si="57"/>
        <v>±</v>
      </c>
      <c r="M206" s="59">
        <v>650</v>
      </c>
      <c r="N206" s="113">
        <f t="shared" si="59"/>
        <v>1.1939271488704115</v>
      </c>
      <c r="O206" s="31">
        <f t="shared" si="60"/>
        <v>3.05</v>
      </c>
      <c r="P206" s="108">
        <v>1.5</v>
      </c>
      <c r="Q206" s="31" t="str">
        <f t="shared" si="58"/>
        <v/>
      </c>
      <c r="R206" s="59"/>
      <c r="S206" s="113">
        <f t="shared" si="61"/>
        <v>0.0004863823735847007</v>
      </c>
      <c r="T206" s="31">
        <f t="shared" si="62"/>
        <v>0.0030499999999999998</v>
      </c>
      <c r="U206" s="113">
        <f t="shared" si="63"/>
        <v>1.981425864699592E-07</v>
      </c>
      <c r="V206" s="31">
        <f t="shared" si="64"/>
        <v>3.05E-06</v>
      </c>
      <c r="W206" s="160">
        <v>72</v>
      </c>
      <c r="AB206" s="28"/>
      <c r="AE206" s="30"/>
      <c r="AJ206" s="28"/>
      <c r="AK206" s="35"/>
      <c r="AN206" s="238"/>
      <c r="AO206" s="237"/>
      <c r="AP206"/>
      <c r="AQ206"/>
      <c r="AR206"/>
    </row>
    <row r="207" spans="1:44" s="29" customFormat="1" ht="38.25">
      <c r="A207" s="143" t="s">
        <v>83</v>
      </c>
      <c r="B207" s="28" t="s">
        <v>168</v>
      </c>
      <c r="C207" s="33" t="s">
        <v>86</v>
      </c>
      <c r="D207" s="28" t="s">
        <v>13</v>
      </c>
      <c r="E207" s="31">
        <v>7.69</v>
      </c>
      <c r="F207" s="32">
        <v>1.04</v>
      </c>
      <c r="G207" s="29" t="str">
        <f t="shared" si="56"/>
        <v xml:space="preserve"> </v>
      </c>
      <c r="I207" s="30" t="s">
        <v>80</v>
      </c>
      <c r="J207" s="30"/>
      <c r="K207" s="108">
        <v>450</v>
      </c>
      <c r="L207" s="31" t="str">
        <f t="shared" si="57"/>
        <v>±</v>
      </c>
      <c r="M207" s="59">
        <v>50</v>
      </c>
      <c r="N207" s="113">
        <f t="shared" si="59"/>
        <v>0.4839809875819483</v>
      </c>
      <c r="O207" s="31">
        <f t="shared" si="60"/>
        <v>0.45</v>
      </c>
      <c r="P207" s="108">
        <v>1.65</v>
      </c>
      <c r="Q207" s="31" t="str">
        <f t="shared" si="58"/>
        <v/>
      </c>
      <c r="R207" s="59"/>
      <c r="S207" s="113">
        <f t="shared" si="61"/>
        <v>0.0003671371239201439</v>
      </c>
      <c r="T207" s="31">
        <f t="shared" si="62"/>
        <v>0.00045</v>
      </c>
      <c r="U207" s="113">
        <f t="shared" si="63"/>
        <v>2.785019891665316E-07</v>
      </c>
      <c r="V207" s="31">
        <f t="shared" si="64"/>
        <v>4.5000000000000003E-07</v>
      </c>
      <c r="W207" s="160">
        <v>72</v>
      </c>
      <c r="AB207" s="28"/>
      <c r="AE207" s="30"/>
      <c r="AJ207" s="28"/>
      <c r="AK207" s="35"/>
      <c r="AN207" s="238"/>
      <c r="AO207" s="237"/>
      <c r="AP207"/>
      <c r="AQ207"/>
      <c r="AR207"/>
    </row>
    <row r="208" spans="1:44" s="29" customFormat="1" ht="38.25">
      <c r="A208" s="143" t="s">
        <v>83</v>
      </c>
      <c r="B208" s="28" t="s">
        <v>168</v>
      </c>
      <c r="C208" s="33" t="s">
        <v>87</v>
      </c>
      <c r="D208" s="28" t="s">
        <v>13</v>
      </c>
      <c r="E208" s="31">
        <v>2.76</v>
      </c>
      <c r="F208" s="32">
        <v>0.96</v>
      </c>
      <c r="G208" s="29" t="str">
        <f t="shared" si="56"/>
        <v xml:space="preserve"> </v>
      </c>
      <c r="I208" s="30" t="s">
        <v>80</v>
      </c>
      <c r="J208" s="30"/>
      <c r="K208" s="108">
        <v>150</v>
      </c>
      <c r="L208" s="31" t="str">
        <f t="shared" si="57"/>
        <v>±</v>
      </c>
      <c r="M208" s="59">
        <v>0</v>
      </c>
      <c r="N208" s="113">
        <f t="shared" si="59"/>
        <v>0.21488356499208697</v>
      </c>
      <c r="O208" s="31">
        <f t="shared" si="60"/>
        <v>0.15</v>
      </c>
      <c r="P208" s="108">
        <v>0.79</v>
      </c>
      <c r="Q208" s="31" t="str">
        <f t="shared" si="58"/>
        <v/>
      </c>
      <c r="R208" s="59"/>
      <c r="S208" s="113">
        <f t="shared" si="61"/>
        <v>0.0002832717075558422</v>
      </c>
      <c r="T208" s="31">
        <f t="shared" si="62"/>
        <v>0.00015</v>
      </c>
      <c r="U208" s="113">
        <f t="shared" si="63"/>
        <v>3.734248373278692E-07</v>
      </c>
      <c r="V208" s="31">
        <f t="shared" si="64"/>
        <v>1.5000000000000002E-07</v>
      </c>
      <c r="W208" s="160">
        <v>72</v>
      </c>
      <c r="AB208" s="28"/>
      <c r="AE208" s="30"/>
      <c r="AJ208" s="28"/>
      <c r="AK208" s="35"/>
      <c r="AN208" s="238"/>
      <c r="AO208" s="237"/>
      <c r="AP208"/>
      <c r="AQ208"/>
      <c r="AR208"/>
    </row>
    <row r="209" spans="1:44" s="29" customFormat="1" ht="38.25">
      <c r="A209" s="143" t="s">
        <v>83</v>
      </c>
      <c r="B209" s="28" t="s">
        <v>145</v>
      </c>
      <c r="C209" s="33" t="s">
        <v>88</v>
      </c>
      <c r="D209" s="28" t="s">
        <v>89</v>
      </c>
      <c r="E209" s="31">
        <v>53.5</v>
      </c>
      <c r="F209" s="32">
        <v>-0.26</v>
      </c>
      <c r="G209" s="29" t="str">
        <f t="shared" si="56"/>
        <v xml:space="preserve"> </v>
      </c>
      <c r="I209" s="30" t="s">
        <v>80</v>
      </c>
      <c r="J209" s="30"/>
      <c r="K209" s="108">
        <v>16.5</v>
      </c>
      <c r="L209" s="31" t="str">
        <f t="shared" si="57"/>
        <v>±</v>
      </c>
      <c r="M209" s="59">
        <v>5.5</v>
      </c>
      <c r="N209" s="113">
        <f t="shared" si="59"/>
        <v>106.8140277104503</v>
      </c>
      <c r="O209" s="31">
        <f t="shared" si="60"/>
        <v>0.0165</v>
      </c>
      <c r="P209" s="108">
        <v>106</v>
      </c>
      <c r="Q209" s="31" t="str">
        <f t="shared" si="58"/>
        <v/>
      </c>
      <c r="R209" s="59"/>
      <c r="S209" s="113">
        <f t="shared" si="61"/>
        <v>643.618163241439</v>
      </c>
      <c r="T209" s="31">
        <f t="shared" si="62"/>
        <v>1.6499999999999998E-05</v>
      </c>
      <c r="U209" s="113">
        <f t="shared" si="63"/>
        <v>3878.182940327</v>
      </c>
      <c r="V209" s="31">
        <f t="shared" si="64"/>
        <v>1.6500000000000002E-08</v>
      </c>
      <c r="W209" s="160">
        <v>72</v>
      </c>
      <c r="AB209" s="28"/>
      <c r="AE209" s="30"/>
      <c r="AJ209" s="28"/>
      <c r="AK209" s="35"/>
      <c r="AN209" s="238"/>
      <c r="AO209" s="237"/>
      <c r="AP209"/>
      <c r="AQ209"/>
      <c r="AR209"/>
    </row>
    <row r="210" spans="1:44" s="29" customFormat="1" ht="38.25">
      <c r="A210" s="143" t="s">
        <v>83</v>
      </c>
      <c r="B210" s="28" t="s">
        <v>145</v>
      </c>
      <c r="C210" s="33" t="s">
        <v>90</v>
      </c>
      <c r="D210" s="28" t="s">
        <v>11</v>
      </c>
      <c r="E210" s="31">
        <v>379</v>
      </c>
      <c r="F210" s="32">
        <v>0.8</v>
      </c>
      <c r="G210" s="29" t="str">
        <f t="shared" si="56"/>
        <v xml:space="preserve"> </v>
      </c>
      <c r="I210" s="30" t="s">
        <v>80</v>
      </c>
      <c r="J210" s="30"/>
      <c r="K210" s="108">
        <v>6500</v>
      </c>
      <c r="L210" s="31" t="str">
        <f t="shared" si="57"/>
        <v>±</v>
      </c>
      <c r="M210" s="59">
        <v>500</v>
      </c>
      <c r="N210" s="113">
        <f t="shared" si="59"/>
        <v>45.15622641893366</v>
      </c>
      <c r="O210" s="31">
        <f t="shared" si="60"/>
        <v>6.5</v>
      </c>
      <c r="P210" s="108">
        <v>0.2</v>
      </c>
      <c r="Q210" s="31" t="str">
        <f t="shared" si="58"/>
        <v/>
      </c>
      <c r="R210" s="59"/>
      <c r="S210" s="113">
        <f t="shared" si="61"/>
        <v>0.17977017532514758</v>
      </c>
      <c r="T210" s="31">
        <f t="shared" si="62"/>
        <v>0.0065</v>
      </c>
      <c r="U210" s="113">
        <f t="shared" si="63"/>
        <v>0.0007156779584860062</v>
      </c>
      <c r="V210" s="31">
        <f t="shared" si="64"/>
        <v>6.5000000000000004E-06</v>
      </c>
      <c r="W210" s="160">
        <v>72</v>
      </c>
      <c r="AB210" s="28"/>
      <c r="AE210" s="30"/>
      <c r="AJ210" s="28"/>
      <c r="AK210" s="35"/>
      <c r="AN210" s="238"/>
      <c r="AO210" s="237"/>
      <c r="AP210"/>
      <c r="AQ210"/>
      <c r="AR210"/>
    </row>
    <row r="211" spans="1:44" s="29" customFormat="1" ht="38.25">
      <c r="A211" s="143" t="s">
        <v>83</v>
      </c>
      <c r="B211" s="28" t="s">
        <v>145</v>
      </c>
      <c r="C211" s="33" t="s">
        <v>91</v>
      </c>
      <c r="D211" s="28" t="s">
        <v>92</v>
      </c>
      <c r="E211" s="31">
        <v>2.1</v>
      </c>
      <c r="F211" s="32">
        <v>1.08</v>
      </c>
      <c r="G211" s="29" t="str">
        <f t="shared" si="56"/>
        <v xml:space="preserve"> </v>
      </c>
      <c r="I211" s="30" t="s">
        <v>80</v>
      </c>
      <c r="J211" s="30"/>
      <c r="K211" s="108">
        <v>162.5</v>
      </c>
      <c r="L211" s="31" t="str">
        <f t="shared" si="57"/>
        <v>±</v>
      </c>
      <c r="M211" s="59">
        <v>37.5</v>
      </c>
      <c r="N211" s="113">
        <f>$E211*N$4^$F211</f>
        <v>0.11882974849920669</v>
      </c>
      <c r="O211" s="31">
        <f t="shared" si="60"/>
        <v>0.1625</v>
      </c>
      <c r="P211" s="108">
        <v>0.45</v>
      </c>
      <c r="Q211" s="31" t="str">
        <f t="shared" si="58"/>
        <v/>
      </c>
      <c r="R211" s="59"/>
      <c r="S211" s="113">
        <f t="shared" si="61"/>
        <v>6.837938303017354E-05</v>
      </c>
      <c r="T211" s="31">
        <f t="shared" si="62"/>
        <v>0.0001625</v>
      </c>
      <c r="U211" s="113">
        <f t="shared" si="63"/>
        <v>3.9348227886036544E-08</v>
      </c>
      <c r="V211" s="31">
        <f t="shared" si="64"/>
        <v>1.625E-07</v>
      </c>
      <c r="W211" s="160">
        <v>72</v>
      </c>
      <c r="AB211" s="28"/>
      <c r="AE211" s="30"/>
      <c r="AJ211" s="28"/>
      <c r="AK211" s="35"/>
      <c r="AN211" s="238"/>
      <c r="AO211" s="237"/>
      <c r="AP211"/>
      <c r="AQ211"/>
      <c r="AR211"/>
    </row>
    <row r="212" spans="1:44" s="29" customFormat="1" ht="38.25">
      <c r="A212" s="143" t="s">
        <v>83</v>
      </c>
      <c r="B212" s="28" t="s">
        <v>145</v>
      </c>
      <c r="C212" s="33" t="s">
        <v>93</v>
      </c>
      <c r="D212" s="28" t="s">
        <v>94</v>
      </c>
      <c r="E212" s="31">
        <v>24.4</v>
      </c>
      <c r="F212" s="32">
        <v>-0.7</v>
      </c>
      <c r="G212" s="29" t="str">
        <f t="shared" si="56"/>
        <v xml:space="preserve"> </v>
      </c>
      <c r="I212" s="30" t="s">
        <v>80</v>
      </c>
      <c r="J212" s="30"/>
      <c r="K212" s="108">
        <v>1.4</v>
      </c>
      <c r="L212" s="31" t="str">
        <f t="shared" si="57"/>
        <v>±</v>
      </c>
      <c r="M212" s="59">
        <v>0.5</v>
      </c>
      <c r="N212" s="113">
        <f>$E212*N$4^$F212</f>
        <v>156.9716409517638</v>
      </c>
      <c r="O212" s="31">
        <f t="shared" si="60"/>
        <v>0.0014</v>
      </c>
      <c r="P212" s="108">
        <v>95</v>
      </c>
      <c r="Q212" s="31" t="str">
        <f t="shared" si="58"/>
        <v/>
      </c>
      <c r="R212" s="59"/>
      <c r="S212" s="113">
        <f t="shared" si="61"/>
        <v>19761.558772520548</v>
      </c>
      <c r="T212" s="31">
        <f t="shared" si="62"/>
        <v>1.4E-06</v>
      </c>
      <c r="U212" s="113">
        <f t="shared" si="63"/>
        <v>2487832.8515390055</v>
      </c>
      <c r="V212" s="31">
        <f t="shared" si="64"/>
        <v>1.4E-09</v>
      </c>
      <c r="W212" s="160">
        <v>72</v>
      </c>
      <c r="AB212" s="28"/>
      <c r="AE212" s="30"/>
      <c r="AJ212" s="28"/>
      <c r="AK212" s="35"/>
      <c r="AN212" s="238"/>
      <c r="AO212" s="237"/>
      <c r="AP212"/>
      <c r="AQ212"/>
      <c r="AR212"/>
    </row>
    <row r="213" spans="1:44" s="29" customFormat="1" ht="38.25">
      <c r="A213" s="143" t="s">
        <v>83</v>
      </c>
      <c r="B213" s="28" t="s">
        <v>145</v>
      </c>
      <c r="C213" s="33" t="s">
        <v>95</v>
      </c>
      <c r="D213" s="28" t="s">
        <v>96</v>
      </c>
      <c r="E213" s="31">
        <v>0.22</v>
      </c>
      <c r="F213" s="32">
        <v>1.14</v>
      </c>
      <c r="G213" s="29" t="str">
        <f t="shared" si="56"/>
        <v xml:space="preserve"> </v>
      </c>
      <c r="I213" s="30" t="s">
        <v>80</v>
      </c>
      <c r="J213" s="30"/>
      <c r="K213" s="108">
        <v>33.5</v>
      </c>
      <c r="L213" s="31" t="str">
        <f t="shared" si="57"/>
        <v>±</v>
      </c>
      <c r="M213" s="59">
        <v>16.5</v>
      </c>
      <c r="N213" s="113">
        <f>$E213*N$4^$F213</f>
        <v>0.010612909147476656</v>
      </c>
      <c r="O213" s="31">
        <f t="shared" si="60"/>
        <v>0.0335</v>
      </c>
      <c r="P213" s="108">
        <v>0.045</v>
      </c>
      <c r="Q213" s="31" t="str">
        <f t="shared" si="58"/>
        <v/>
      </c>
      <c r="R213" s="59"/>
      <c r="S213" s="113">
        <f t="shared" si="61"/>
        <v>4.034915521984111E-06</v>
      </c>
      <c r="T213" s="31">
        <f t="shared" si="62"/>
        <v>3.35E-05</v>
      </c>
      <c r="U213" s="113">
        <f t="shared" si="63"/>
        <v>1.534032096507605E-09</v>
      </c>
      <c r="V213" s="31">
        <f t="shared" si="64"/>
        <v>3.35E-08</v>
      </c>
      <c r="W213" s="160">
        <v>72</v>
      </c>
      <c r="AB213" s="28"/>
      <c r="AE213" s="30"/>
      <c r="AJ213" s="28"/>
      <c r="AK213" s="35"/>
      <c r="AN213" s="238"/>
      <c r="AO213" s="237"/>
      <c r="AP213"/>
      <c r="AQ213"/>
      <c r="AR213"/>
    </row>
    <row r="214" spans="1:44" s="29" customFormat="1" ht="38.25">
      <c r="A214" s="143" t="s">
        <v>83</v>
      </c>
      <c r="B214" s="28" t="s">
        <v>145</v>
      </c>
      <c r="C214" s="33" t="s">
        <v>97</v>
      </c>
      <c r="D214" s="28" t="s">
        <v>98</v>
      </c>
      <c r="E214" s="31">
        <v>962</v>
      </c>
      <c r="F214" s="32">
        <v>0.78</v>
      </c>
      <c r="G214" s="29" t="str">
        <f t="shared" si="56"/>
        <v xml:space="preserve"> </v>
      </c>
      <c r="I214" s="30" t="s">
        <v>80</v>
      </c>
      <c r="J214" s="30"/>
      <c r="K214" s="108">
        <v>40000</v>
      </c>
      <c r="L214" s="31" t="str">
        <f t="shared" si="57"/>
        <v>±</v>
      </c>
      <c r="M214" s="59">
        <v>10000</v>
      </c>
      <c r="N214" s="113">
        <f>$E214*N$4^$F214</f>
        <v>120.87919057737508</v>
      </c>
      <c r="O214" s="31">
        <f t="shared" si="60"/>
        <v>40</v>
      </c>
      <c r="P214" s="108">
        <v>625</v>
      </c>
      <c r="Q214" s="31" t="str">
        <f t="shared" si="58"/>
        <v/>
      </c>
      <c r="R214" s="59"/>
      <c r="S214" s="113">
        <f t="shared" si="61"/>
        <v>0.5525245038312382</v>
      </c>
      <c r="T214" s="31">
        <f t="shared" si="62"/>
        <v>0.04</v>
      </c>
      <c r="U214" s="113">
        <f t="shared" si="63"/>
        <v>0.002525524251740778</v>
      </c>
      <c r="V214" s="31">
        <f t="shared" si="64"/>
        <v>4E-05</v>
      </c>
      <c r="W214" s="159"/>
      <c r="AB214" s="28"/>
      <c r="AE214" s="30"/>
      <c r="AJ214" s="28"/>
      <c r="AK214" s="35"/>
      <c r="AN214" s="236"/>
      <c r="AO214" s="237"/>
      <c r="AP214"/>
      <c r="AQ214"/>
      <c r="AR214"/>
    </row>
    <row r="215" spans="1:44" s="29" customFormat="1" ht="38.25">
      <c r="A215" s="143" t="s">
        <v>83</v>
      </c>
      <c r="B215" s="28" t="s">
        <v>168</v>
      </c>
      <c r="C215" s="33" t="s">
        <v>327</v>
      </c>
      <c r="D215" s="28" t="s">
        <v>8</v>
      </c>
      <c r="E215" s="31">
        <v>11.3</v>
      </c>
      <c r="F215" s="32">
        <v>0.99</v>
      </c>
      <c r="G215" s="29" t="str">
        <f t="shared" si="56"/>
        <v xml:space="preserve"> </v>
      </c>
      <c r="I215" s="30" t="s">
        <v>80</v>
      </c>
      <c r="J215" s="30"/>
      <c r="K215" s="108">
        <v>1000</v>
      </c>
      <c r="L215" s="31" t="str">
        <f t="shared" si="57"/>
        <v/>
      </c>
      <c r="M215" s="59"/>
      <c r="N215" s="113">
        <f>$E215*N$4^$F215</f>
        <v>0.812316926948806</v>
      </c>
      <c r="O215" s="31"/>
      <c r="P215" s="108">
        <v>1.5</v>
      </c>
      <c r="Q215" s="31" t="str">
        <f t="shared" si="58"/>
        <v/>
      </c>
      <c r="R215" s="59"/>
      <c r="S215" s="113">
        <f t="shared" si="61"/>
        <v>0.000870413269196932</v>
      </c>
      <c r="T215" s="31">
        <v>0.001</v>
      </c>
      <c r="U215" s="113">
        <f t="shared" si="63"/>
        <v>9.326646214794919E-07</v>
      </c>
      <c r="V215" s="31">
        <v>1E-06</v>
      </c>
      <c r="W215" s="160">
        <v>72</v>
      </c>
      <c r="AB215" s="28"/>
      <c r="AE215" s="30"/>
      <c r="AJ215" s="28"/>
      <c r="AK215" s="35"/>
      <c r="AN215" s="238"/>
      <c r="AO215" s="237"/>
      <c r="AP215"/>
      <c r="AQ215"/>
      <c r="AR215"/>
    </row>
    <row r="216" spans="1:44" s="29" customFormat="1" ht="38.25">
      <c r="A216" s="143" t="s">
        <v>83</v>
      </c>
      <c r="B216" s="28" t="s">
        <v>168</v>
      </c>
      <c r="C216" s="33" t="s">
        <v>99</v>
      </c>
      <c r="D216" s="28" t="s">
        <v>48</v>
      </c>
      <c r="E216" s="31">
        <v>0.042</v>
      </c>
      <c r="F216" s="32">
        <v>0.172</v>
      </c>
      <c r="G216" s="29" t="str">
        <f t="shared" si="56"/>
        <v xml:space="preserve"> </v>
      </c>
      <c r="I216" s="30" t="s">
        <v>80</v>
      </c>
      <c r="J216" s="30"/>
      <c r="K216" s="108">
        <v>0.286</v>
      </c>
      <c r="L216" s="31" t="str">
        <f t="shared" si="57"/>
        <v/>
      </c>
      <c r="M216" s="59"/>
      <c r="N216" s="113">
        <f aca="true" t="shared" si="65" ref="N216:N218">$E216*N$4^$F216</f>
        <v>0.026583132335757674</v>
      </c>
      <c r="O216" s="31">
        <f aca="true" t="shared" si="66" ref="O216:O241">K216/1000</f>
        <v>0.00028599999999999996</v>
      </c>
      <c r="P216" s="108">
        <v>0.074</v>
      </c>
      <c r="Q216" s="31" t="str">
        <f t="shared" si="58"/>
        <v/>
      </c>
      <c r="R216" s="59"/>
      <c r="S216" s="113">
        <f t="shared" si="61"/>
        <v>0.008102259585477344</v>
      </c>
      <c r="T216" s="31">
        <f aca="true" t="shared" si="67" ref="T216:T241">K216*10^-6</f>
        <v>2.8599999999999994E-07</v>
      </c>
      <c r="U216" s="113">
        <f t="shared" si="63"/>
        <v>0.0024694836395241695</v>
      </c>
      <c r="V216" s="31">
        <f aca="true" t="shared" si="68" ref="V216:V222">K216*10^-9</f>
        <v>2.86E-10</v>
      </c>
      <c r="W216" s="160">
        <v>73</v>
      </c>
      <c r="AB216" s="28"/>
      <c r="AE216" s="30"/>
      <c r="AJ216" s="28"/>
      <c r="AK216" s="35"/>
      <c r="AN216" s="238"/>
      <c r="AO216" s="237"/>
      <c r="AP216"/>
      <c r="AQ216"/>
      <c r="AR216"/>
    </row>
    <row r="217" spans="1:44" s="29" customFormat="1" ht="38.25">
      <c r="A217" s="143" t="s">
        <v>83</v>
      </c>
      <c r="B217" s="28" t="s">
        <v>168</v>
      </c>
      <c r="C217" s="33" t="s">
        <v>100</v>
      </c>
      <c r="D217" s="28" t="s">
        <v>48</v>
      </c>
      <c r="E217" s="31">
        <v>0.0052</v>
      </c>
      <c r="F217" s="32">
        <v>0.21</v>
      </c>
      <c r="G217" s="29" t="str">
        <f t="shared" si="56"/>
        <v xml:space="preserve"> </v>
      </c>
      <c r="I217" s="30" t="s">
        <v>80</v>
      </c>
      <c r="J217" s="30"/>
      <c r="K217" s="108">
        <v>0.044</v>
      </c>
      <c r="L217" s="31" t="str">
        <f t="shared" si="57"/>
        <v/>
      </c>
      <c r="M217" s="59"/>
      <c r="N217" s="113">
        <f t="shared" si="65"/>
        <v>0.0029749106883714942</v>
      </c>
      <c r="O217" s="31">
        <f t="shared" si="66"/>
        <v>4.4E-05</v>
      </c>
      <c r="P217" s="108">
        <v>0.0041</v>
      </c>
      <c r="Q217" s="31" t="str">
        <f t="shared" si="58"/>
        <v/>
      </c>
      <c r="R217" s="59"/>
      <c r="S217" s="113">
        <f t="shared" si="61"/>
        <v>0.0006973871358683683</v>
      </c>
      <c r="T217" s="31">
        <f t="shared" si="67"/>
        <v>4.4E-08</v>
      </c>
      <c r="U217" s="113">
        <f t="shared" si="63"/>
        <v>0.00016348350193360586</v>
      </c>
      <c r="V217" s="31">
        <f t="shared" si="68"/>
        <v>4.4E-11</v>
      </c>
      <c r="W217" s="160">
        <v>73</v>
      </c>
      <c r="AB217" s="28"/>
      <c r="AE217" s="30"/>
      <c r="AJ217" s="28"/>
      <c r="AK217" s="35"/>
      <c r="AN217" s="238"/>
      <c r="AO217" s="237"/>
      <c r="AP217"/>
      <c r="AQ217"/>
      <c r="AR217"/>
    </row>
    <row r="218" spans="1:44" s="29" customFormat="1" ht="38.25">
      <c r="A218" s="143" t="s">
        <v>83</v>
      </c>
      <c r="B218" s="28" t="s">
        <v>168</v>
      </c>
      <c r="C218" s="33" t="s">
        <v>101</v>
      </c>
      <c r="D218" s="28" t="s">
        <v>48</v>
      </c>
      <c r="E218" s="31">
        <v>0.0031</v>
      </c>
      <c r="F218" s="32">
        <v>0.151</v>
      </c>
      <c r="G218" s="29" t="str">
        <f t="shared" si="56"/>
        <v xml:space="preserve"> </v>
      </c>
      <c r="I218" s="30" t="s">
        <v>80</v>
      </c>
      <c r="J218" s="30"/>
      <c r="K218" s="108">
        <v>0.0182</v>
      </c>
      <c r="L218" s="31" t="str">
        <f t="shared" si="57"/>
        <v/>
      </c>
      <c r="M218" s="59"/>
      <c r="N218" s="113">
        <f t="shared" si="65"/>
        <v>0.002074777348326889</v>
      </c>
      <c r="O218" s="31">
        <f t="shared" si="66"/>
        <v>1.8200000000000002E-05</v>
      </c>
      <c r="P218" s="108">
        <v>0.00448</v>
      </c>
      <c r="Q218" s="31" t="str">
        <f t="shared" si="58"/>
        <v/>
      </c>
      <c r="R218" s="59"/>
      <c r="S218" s="113">
        <f t="shared" si="61"/>
        <v>0.0007310911014491675</v>
      </c>
      <c r="T218" s="31">
        <f t="shared" si="67"/>
        <v>1.82E-08</v>
      </c>
      <c r="U218" s="113">
        <f t="shared" si="63"/>
        <v>0.00025761520822905454</v>
      </c>
      <c r="V218" s="31">
        <f t="shared" si="68"/>
        <v>1.8200000000000002E-11</v>
      </c>
      <c r="W218" s="160">
        <v>73</v>
      </c>
      <c r="AB218" s="28"/>
      <c r="AE218" s="30"/>
      <c r="AJ218" s="28"/>
      <c r="AK218" s="35"/>
      <c r="AN218" s="238"/>
      <c r="AO218" s="237"/>
      <c r="AP218"/>
      <c r="AQ218"/>
      <c r="AR218"/>
    </row>
    <row r="219" spans="1:44" s="29" customFormat="1" ht="38.25">
      <c r="A219" s="143" t="s">
        <v>83</v>
      </c>
      <c r="B219" s="28" t="s">
        <v>168</v>
      </c>
      <c r="C219" s="33" t="s">
        <v>102</v>
      </c>
      <c r="D219" s="28" t="s">
        <v>529</v>
      </c>
      <c r="E219" s="31"/>
      <c r="F219" s="32" t="s">
        <v>103</v>
      </c>
      <c r="G219" s="29" t="str">
        <f t="shared" si="56"/>
        <v xml:space="preserve"> </v>
      </c>
      <c r="I219" s="30" t="s">
        <v>170</v>
      </c>
      <c r="J219" s="30"/>
      <c r="K219" s="108">
        <v>102.2</v>
      </c>
      <c r="L219" s="31" t="str">
        <f t="shared" si="57"/>
        <v>±</v>
      </c>
      <c r="M219" s="59">
        <v>20.5</v>
      </c>
      <c r="N219" s="113"/>
      <c r="O219" s="31">
        <f t="shared" si="66"/>
        <v>0.1022</v>
      </c>
      <c r="P219" s="108">
        <v>0.05</v>
      </c>
      <c r="Q219" s="31" t="str">
        <f t="shared" si="58"/>
        <v>±</v>
      </c>
      <c r="R219" s="59">
        <v>0.02</v>
      </c>
      <c r="S219" s="113"/>
      <c r="T219" s="31">
        <f t="shared" si="67"/>
        <v>0.0001022</v>
      </c>
      <c r="U219" s="113"/>
      <c r="V219" s="31">
        <f t="shared" si="68"/>
        <v>1.0220000000000002E-07</v>
      </c>
      <c r="W219" s="160">
        <v>74</v>
      </c>
      <c r="AB219" s="28"/>
      <c r="AE219" s="30"/>
      <c r="AJ219" s="28"/>
      <c r="AK219" s="35"/>
      <c r="AN219" s="238"/>
      <c r="AO219" s="237"/>
      <c r="AP219"/>
      <c r="AQ219"/>
      <c r="AR219"/>
    </row>
    <row r="220" spans="1:44" ht="38.25">
      <c r="A220" s="143" t="s">
        <v>83</v>
      </c>
      <c r="B220" s="28" t="s">
        <v>168</v>
      </c>
      <c r="C220" s="33" t="s">
        <v>104</v>
      </c>
      <c r="D220" s="28" t="s">
        <v>529</v>
      </c>
      <c r="E220" s="31"/>
      <c r="F220" s="32" t="s">
        <v>103</v>
      </c>
      <c r="G220" s="29" t="str">
        <f t="shared" si="56"/>
        <v xml:space="preserve"> </v>
      </c>
      <c r="H220" s="29"/>
      <c r="I220" s="30" t="s">
        <v>170</v>
      </c>
      <c r="J220" s="30"/>
      <c r="K220" s="108">
        <v>96</v>
      </c>
      <c r="L220" s="31" t="str">
        <f t="shared" si="57"/>
        <v>±</v>
      </c>
      <c r="M220" s="59">
        <v>19.1</v>
      </c>
      <c r="N220" s="113"/>
      <c r="O220" s="31">
        <f t="shared" si="66"/>
        <v>0.096</v>
      </c>
      <c r="P220" s="108">
        <v>0.05</v>
      </c>
      <c r="Q220" s="31" t="str">
        <f t="shared" si="58"/>
        <v>±</v>
      </c>
      <c r="R220" s="59">
        <v>0.02</v>
      </c>
      <c r="S220" s="113"/>
      <c r="T220" s="31">
        <f t="shared" si="67"/>
        <v>9.6E-05</v>
      </c>
      <c r="U220" s="113"/>
      <c r="V220" s="31">
        <f t="shared" si="68"/>
        <v>9.600000000000001E-08</v>
      </c>
      <c r="W220" s="160">
        <v>74</v>
      </c>
      <c r="AC220" s="29"/>
      <c r="AN220" s="238"/>
      <c r="AO220" s="237"/>
      <c r="AP220"/>
      <c r="AQ220"/>
      <c r="AR220"/>
    </row>
    <row r="221" spans="1:44" ht="38.25">
      <c r="A221" s="143" t="s">
        <v>83</v>
      </c>
      <c r="B221" s="28" t="s">
        <v>168</v>
      </c>
      <c r="C221" s="33" t="s">
        <v>105</v>
      </c>
      <c r="D221" s="28" t="s">
        <v>529</v>
      </c>
      <c r="E221" s="31"/>
      <c r="F221" s="32" t="s">
        <v>103</v>
      </c>
      <c r="G221" s="29" t="str">
        <f t="shared" si="56"/>
        <v xml:space="preserve"> </v>
      </c>
      <c r="H221" s="29"/>
      <c r="I221" s="30" t="s">
        <v>170</v>
      </c>
      <c r="J221" s="30"/>
      <c r="K221" s="108">
        <v>6.2</v>
      </c>
      <c r="L221" s="31" t="str">
        <f t="shared" si="57"/>
        <v>±</v>
      </c>
      <c r="M221" s="59">
        <v>1.5</v>
      </c>
      <c r="N221" s="113"/>
      <c r="O221" s="31">
        <f t="shared" si="66"/>
        <v>0.0062</v>
      </c>
      <c r="P221" s="108">
        <v>0.001</v>
      </c>
      <c r="Q221" s="31" t="str">
        <f t="shared" si="58"/>
        <v>±</v>
      </c>
      <c r="R221" s="59">
        <v>0.0002</v>
      </c>
      <c r="S221" s="113"/>
      <c r="T221" s="31">
        <f t="shared" si="67"/>
        <v>6.2E-06</v>
      </c>
      <c r="U221" s="113"/>
      <c r="V221" s="31">
        <f t="shared" si="68"/>
        <v>6.200000000000001E-09</v>
      </c>
      <c r="W221" s="160">
        <v>74</v>
      </c>
      <c r="AC221" s="29"/>
      <c r="AN221" s="238"/>
      <c r="AO221" s="237"/>
      <c r="AP221"/>
      <c r="AQ221"/>
      <c r="AR221"/>
    </row>
    <row r="222" spans="1:44" ht="38.25">
      <c r="A222" s="143" t="s">
        <v>83</v>
      </c>
      <c r="B222" s="28" t="s">
        <v>168</v>
      </c>
      <c r="C222" s="33" t="s">
        <v>106</v>
      </c>
      <c r="D222" s="28" t="s">
        <v>529</v>
      </c>
      <c r="E222" s="31"/>
      <c r="F222" s="32" t="s">
        <v>103</v>
      </c>
      <c r="G222" s="29" t="str">
        <f t="shared" si="56"/>
        <v xml:space="preserve"> </v>
      </c>
      <c r="H222" s="29"/>
      <c r="I222" s="30" t="s">
        <v>170</v>
      </c>
      <c r="J222" s="30"/>
      <c r="K222" s="108">
        <v>72.3</v>
      </c>
      <c r="L222" s="31" t="str">
        <f t="shared" si="57"/>
        <v>±</v>
      </c>
      <c r="M222" s="59">
        <v>16.5</v>
      </c>
      <c r="N222" s="113"/>
      <c r="O222" s="31">
        <f t="shared" si="66"/>
        <v>0.0723</v>
      </c>
      <c r="P222" s="108">
        <v>0.04</v>
      </c>
      <c r="Q222" s="31" t="str">
        <f t="shared" si="58"/>
        <v>±</v>
      </c>
      <c r="R222" s="59">
        <v>0.01</v>
      </c>
      <c r="S222" s="113"/>
      <c r="T222" s="31">
        <f t="shared" si="67"/>
        <v>7.23E-05</v>
      </c>
      <c r="U222" s="113"/>
      <c r="V222" s="31">
        <f t="shared" si="68"/>
        <v>7.23E-08</v>
      </c>
      <c r="W222" s="160">
        <v>74</v>
      </c>
      <c r="AC222" s="29"/>
      <c r="AN222" s="238"/>
      <c r="AO222" s="237"/>
      <c r="AP222"/>
      <c r="AQ222"/>
      <c r="AR222"/>
    </row>
    <row r="223" spans="1:44" ht="38.25">
      <c r="A223" s="143" t="s">
        <v>83</v>
      </c>
      <c r="B223" s="28" t="s">
        <v>168</v>
      </c>
      <c r="C223" s="33" t="s">
        <v>338</v>
      </c>
      <c r="D223" s="28" t="s">
        <v>530</v>
      </c>
      <c r="E223" s="31"/>
      <c r="F223" s="32" t="s">
        <v>103</v>
      </c>
      <c r="G223" s="29" t="str">
        <f t="shared" si="56"/>
        <v xml:space="preserve"> </v>
      </c>
      <c r="H223" s="29"/>
      <c r="I223" s="30" t="s">
        <v>170</v>
      </c>
      <c r="J223" s="30"/>
      <c r="K223" s="108">
        <v>230</v>
      </c>
      <c r="L223" s="31" t="str">
        <f t="shared" si="57"/>
        <v>±</v>
      </c>
      <c r="M223" s="59">
        <v>38</v>
      </c>
      <c r="N223" s="113"/>
      <c r="O223" s="31">
        <f t="shared" si="66"/>
        <v>0.23</v>
      </c>
      <c r="P223" s="108">
        <v>0.063</v>
      </c>
      <c r="Q223" s="31" t="str">
        <f t="shared" si="58"/>
        <v>±</v>
      </c>
      <c r="R223" s="59">
        <v>0.012</v>
      </c>
      <c r="S223" s="113"/>
      <c r="T223" s="31">
        <f t="shared" si="67"/>
        <v>0.00022999999999999998</v>
      </c>
      <c r="U223" s="113"/>
      <c r="V223" s="31">
        <f aca="true" t="shared" si="69" ref="V223:V228">K219*10^-9</f>
        <v>1.0220000000000002E-07</v>
      </c>
      <c r="W223" s="160">
        <v>74</v>
      </c>
      <c r="AC223" s="29"/>
      <c r="AN223" s="238"/>
      <c r="AO223" s="237"/>
      <c r="AP223"/>
      <c r="AQ223"/>
      <c r="AR223"/>
    </row>
    <row r="224" spans="1:44" ht="38.25">
      <c r="A224" s="143" t="s">
        <v>83</v>
      </c>
      <c r="B224" s="28" t="s">
        <v>168</v>
      </c>
      <c r="C224" s="33" t="s">
        <v>339</v>
      </c>
      <c r="D224" s="28" t="s">
        <v>530</v>
      </c>
      <c r="E224" s="31"/>
      <c r="F224" s="32" t="s">
        <v>103</v>
      </c>
      <c r="G224" s="29" t="str">
        <f t="shared" si="56"/>
        <v xml:space="preserve"> </v>
      </c>
      <c r="H224" s="29"/>
      <c r="I224" s="30" t="s">
        <v>170</v>
      </c>
      <c r="J224" s="30"/>
      <c r="K224" s="108">
        <v>33.9</v>
      </c>
      <c r="L224" s="31" t="str">
        <f t="shared" si="57"/>
        <v>±</v>
      </c>
      <c r="M224" s="59">
        <v>33.9</v>
      </c>
      <c r="N224" s="113"/>
      <c r="O224" s="31">
        <f t="shared" si="66"/>
        <v>0.0339</v>
      </c>
      <c r="P224" s="108">
        <v>0.014</v>
      </c>
      <c r="Q224" s="31" t="str">
        <f t="shared" si="58"/>
        <v>±</v>
      </c>
      <c r="R224" s="59">
        <v>0.003</v>
      </c>
      <c r="S224" s="113"/>
      <c r="T224" s="31">
        <f t="shared" si="67"/>
        <v>3.39E-05</v>
      </c>
      <c r="U224" s="113"/>
      <c r="V224" s="31">
        <f t="shared" si="69"/>
        <v>9.600000000000001E-08</v>
      </c>
      <c r="W224" s="160">
        <v>74</v>
      </c>
      <c r="AC224" s="29"/>
      <c r="AN224" s="238"/>
      <c r="AO224" s="237"/>
      <c r="AP224"/>
      <c r="AQ224"/>
      <c r="AR224"/>
    </row>
    <row r="225" spans="1:44" ht="38.25">
      <c r="A225" s="143" t="s">
        <v>83</v>
      </c>
      <c r="B225" s="28" t="s">
        <v>168</v>
      </c>
      <c r="C225" s="33" t="s">
        <v>340</v>
      </c>
      <c r="D225" s="28" t="s">
        <v>530</v>
      </c>
      <c r="E225" s="31"/>
      <c r="F225" s="32" t="s">
        <v>103</v>
      </c>
      <c r="G225" s="29" t="str">
        <f t="shared" si="56"/>
        <v xml:space="preserve"> </v>
      </c>
      <c r="H225" s="29"/>
      <c r="I225" s="30" t="s">
        <v>170</v>
      </c>
      <c r="J225" s="30"/>
      <c r="K225" s="108">
        <v>22.3</v>
      </c>
      <c r="L225" s="31" t="str">
        <f t="shared" si="57"/>
        <v>±</v>
      </c>
      <c r="M225" s="59">
        <v>22.3</v>
      </c>
      <c r="N225" s="113"/>
      <c r="O225" s="31">
        <f t="shared" si="66"/>
        <v>0.0223</v>
      </c>
      <c r="P225" s="108">
        <v>0.005</v>
      </c>
      <c r="Q225" s="31" t="str">
        <f t="shared" si="58"/>
        <v>±</v>
      </c>
      <c r="R225" s="59">
        <v>0.001</v>
      </c>
      <c r="S225" s="113"/>
      <c r="T225" s="31">
        <f t="shared" si="67"/>
        <v>2.23E-05</v>
      </c>
      <c r="U225" s="113"/>
      <c r="V225" s="31">
        <f t="shared" si="69"/>
        <v>6.200000000000001E-09</v>
      </c>
      <c r="W225" s="160">
        <v>74</v>
      </c>
      <c r="AC225" s="29"/>
      <c r="AN225" s="238"/>
      <c r="AO225" s="237"/>
      <c r="AP225"/>
      <c r="AQ225"/>
      <c r="AR225"/>
    </row>
    <row r="226" spans="1:44" ht="38.25">
      <c r="A226" s="143" t="s">
        <v>83</v>
      </c>
      <c r="B226" s="28" t="s">
        <v>168</v>
      </c>
      <c r="C226" s="33" t="s">
        <v>341</v>
      </c>
      <c r="D226" s="28" t="s">
        <v>530</v>
      </c>
      <c r="E226" s="31"/>
      <c r="F226" s="32" t="s">
        <v>103</v>
      </c>
      <c r="G226" s="29" t="str">
        <f t="shared" si="56"/>
        <v xml:space="preserve"> </v>
      </c>
      <c r="H226" s="29"/>
      <c r="I226" s="30" t="s">
        <v>170</v>
      </c>
      <c r="J226" s="30"/>
      <c r="K226" s="108">
        <v>38.4</v>
      </c>
      <c r="L226" s="31" t="str">
        <f t="shared" si="57"/>
        <v>±</v>
      </c>
      <c r="M226" s="59">
        <v>38.4</v>
      </c>
      <c r="N226" s="113"/>
      <c r="O226" s="31">
        <f t="shared" si="66"/>
        <v>0.0384</v>
      </c>
      <c r="P226" s="108">
        <v>0.013</v>
      </c>
      <c r="Q226" s="31" t="str">
        <f t="shared" si="58"/>
        <v>±</v>
      </c>
      <c r="R226" s="59">
        <v>0.004</v>
      </c>
      <c r="S226" s="113"/>
      <c r="T226" s="31">
        <f t="shared" si="67"/>
        <v>3.84E-05</v>
      </c>
      <c r="U226" s="113"/>
      <c r="V226" s="31">
        <f t="shared" si="69"/>
        <v>7.23E-08</v>
      </c>
      <c r="W226" s="160">
        <v>74</v>
      </c>
      <c r="AC226" s="29"/>
      <c r="AN226" s="238"/>
      <c r="AO226" s="237"/>
      <c r="AP226"/>
      <c r="AQ226"/>
      <c r="AR226"/>
    </row>
    <row r="227" spans="1:44" ht="38.25">
      <c r="A227" s="143" t="s">
        <v>83</v>
      </c>
      <c r="B227" s="28" t="s">
        <v>168</v>
      </c>
      <c r="C227" s="33" t="s">
        <v>342</v>
      </c>
      <c r="D227" s="28" t="s">
        <v>530</v>
      </c>
      <c r="E227" s="31"/>
      <c r="F227" s="32" t="s">
        <v>103</v>
      </c>
      <c r="G227" s="29" t="str">
        <f t="shared" si="56"/>
        <v xml:space="preserve"> </v>
      </c>
      <c r="H227" s="29"/>
      <c r="I227" s="30" t="s">
        <v>170</v>
      </c>
      <c r="J227" s="30"/>
      <c r="K227" s="108">
        <v>85.5</v>
      </c>
      <c r="L227" s="31" t="str">
        <f t="shared" si="57"/>
        <v>±</v>
      </c>
      <c r="M227" s="59">
        <v>10.6</v>
      </c>
      <c r="N227" s="113"/>
      <c r="O227" s="31">
        <f t="shared" si="66"/>
        <v>0.0855</v>
      </c>
      <c r="P227" s="108">
        <v>0.007</v>
      </c>
      <c r="Q227" s="31" t="str">
        <f t="shared" si="58"/>
        <v>±</v>
      </c>
      <c r="R227" s="59">
        <v>0.002</v>
      </c>
      <c r="S227" s="113"/>
      <c r="T227" s="31">
        <f t="shared" si="67"/>
        <v>8.549999999999999E-05</v>
      </c>
      <c r="U227" s="113"/>
      <c r="V227" s="31">
        <f t="shared" si="69"/>
        <v>2.3000000000000002E-07</v>
      </c>
      <c r="W227" s="160">
        <v>74</v>
      </c>
      <c r="AC227" s="29"/>
      <c r="AN227" s="238"/>
      <c r="AO227" s="237"/>
      <c r="AP227"/>
      <c r="AQ227"/>
      <c r="AR227"/>
    </row>
    <row r="228" spans="1:44" ht="38.25">
      <c r="A228" s="143" t="s">
        <v>83</v>
      </c>
      <c r="B228" s="28" t="s">
        <v>168</v>
      </c>
      <c r="C228" s="33" t="s">
        <v>344</v>
      </c>
      <c r="D228" s="28" t="s">
        <v>530</v>
      </c>
      <c r="E228" s="31"/>
      <c r="F228" s="32" t="s">
        <v>103</v>
      </c>
      <c r="G228" s="29" t="str">
        <f t="shared" si="56"/>
        <v xml:space="preserve"> </v>
      </c>
      <c r="H228" s="29"/>
      <c r="I228" s="30" t="s">
        <v>170</v>
      </c>
      <c r="J228" s="30"/>
      <c r="K228" s="108">
        <v>41.4</v>
      </c>
      <c r="L228" s="31" t="str">
        <f t="shared" si="57"/>
        <v>±</v>
      </c>
      <c r="M228" s="59">
        <v>12.8</v>
      </c>
      <c r="N228" s="113"/>
      <c r="O228" s="31">
        <f t="shared" si="66"/>
        <v>0.0414</v>
      </c>
      <c r="P228" s="108">
        <v>0.022</v>
      </c>
      <c r="Q228" s="31" t="str">
        <f t="shared" si="58"/>
        <v>±</v>
      </c>
      <c r="R228" s="59">
        <v>0.003</v>
      </c>
      <c r="S228" s="113"/>
      <c r="T228" s="31">
        <f t="shared" si="67"/>
        <v>4.14E-05</v>
      </c>
      <c r="U228" s="113"/>
      <c r="V228" s="31">
        <f t="shared" si="69"/>
        <v>3.39E-08</v>
      </c>
      <c r="W228" s="160">
        <v>74</v>
      </c>
      <c r="AC228" s="29"/>
      <c r="AN228" s="238"/>
      <c r="AO228" s="237"/>
      <c r="AP228"/>
      <c r="AQ228"/>
      <c r="AR228"/>
    </row>
    <row r="229" spans="1:44" ht="38.25">
      <c r="A229" s="143" t="s">
        <v>83</v>
      </c>
      <c r="B229" s="28" t="s">
        <v>168</v>
      </c>
      <c r="C229" s="33" t="s">
        <v>343</v>
      </c>
      <c r="D229" s="28" t="s">
        <v>530</v>
      </c>
      <c r="E229" s="31"/>
      <c r="F229" s="32" t="s">
        <v>103</v>
      </c>
      <c r="G229" s="29" t="str">
        <f t="shared" si="56"/>
        <v xml:space="preserve"> </v>
      </c>
      <c r="H229" s="29"/>
      <c r="I229" s="30" t="s">
        <v>170</v>
      </c>
      <c r="J229" s="30"/>
      <c r="K229" s="108">
        <v>8.2</v>
      </c>
      <c r="L229" s="31" t="str">
        <f t="shared" si="57"/>
        <v>±</v>
      </c>
      <c r="M229" s="59">
        <v>3.1</v>
      </c>
      <c r="N229" s="113"/>
      <c r="O229" s="31">
        <f t="shared" si="66"/>
        <v>0.008199999999999999</v>
      </c>
      <c r="P229" s="108">
        <v>0.0013</v>
      </c>
      <c r="Q229" s="31" t="str">
        <f t="shared" si="58"/>
        <v>±</v>
      </c>
      <c r="R229" s="59">
        <v>0.0002</v>
      </c>
      <c r="S229" s="113"/>
      <c r="T229" s="31">
        <f t="shared" si="67"/>
        <v>8.2E-06</v>
      </c>
      <c r="U229" s="113"/>
      <c r="V229" s="31">
        <f>K223*10^-9</f>
        <v>2.3000000000000002E-07</v>
      </c>
      <c r="W229" s="160">
        <v>74</v>
      </c>
      <c r="AC229" s="29"/>
      <c r="AN229" s="238"/>
      <c r="AO229" s="237"/>
      <c r="AP229"/>
      <c r="AQ229"/>
      <c r="AR229"/>
    </row>
    <row r="230" spans="1:44" s="29" customFormat="1" ht="51">
      <c r="A230" s="143" t="s">
        <v>83</v>
      </c>
      <c r="B230" s="28" t="s">
        <v>168</v>
      </c>
      <c r="C230" s="33" t="s">
        <v>61</v>
      </c>
      <c r="D230" s="28"/>
      <c r="E230" s="31"/>
      <c r="F230" s="32">
        <v>1</v>
      </c>
      <c r="G230" s="29" t="str">
        <f t="shared" si="56"/>
        <v xml:space="preserve"> </v>
      </c>
      <c r="I230" s="30" t="s">
        <v>301</v>
      </c>
      <c r="J230" s="30" t="s">
        <v>396</v>
      </c>
      <c r="K230" s="108">
        <f>184000*10^6</f>
        <v>184000000000</v>
      </c>
      <c r="L230" s="31" t="str">
        <f t="shared" si="57"/>
        <v>±</v>
      </c>
      <c r="M230" s="59">
        <f>64000*10^6</f>
        <v>64000000000</v>
      </c>
      <c r="N230" s="113"/>
      <c r="O230" s="31">
        <f t="shared" si="66"/>
        <v>184000000</v>
      </c>
      <c r="P230" s="108">
        <f>119*10^6</f>
        <v>119000000</v>
      </c>
      <c r="Q230" s="31" t="str">
        <f t="shared" si="58"/>
        <v>±</v>
      </c>
      <c r="R230" s="59">
        <f>27*10^6</f>
        <v>27000000</v>
      </c>
      <c r="S230" s="113"/>
      <c r="T230" s="31">
        <f t="shared" si="67"/>
        <v>184000</v>
      </c>
      <c r="U230" s="113"/>
      <c r="V230" s="31">
        <f aca="true" t="shared" si="70" ref="V230:V241">K230*10^-9</f>
        <v>184</v>
      </c>
      <c r="W230" s="160">
        <v>74</v>
      </c>
      <c r="AB230" s="28"/>
      <c r="AE230" s="30"/>
      <c r="AJ230" s="28"/>
      <c r="AK230" s="35"/>
      <c r="AN230" s="238"/>
      <c r="AO230" s="237"/>
      <c r="AP230"/>
      <c r="AQ230"/>
      <c r="AR230"/>
    </row>
    <row r="231" spans="1:44" s="29" customFormat="1" ht="51">
      <c r="A231" s="143" t="s">
        <v>83</v>
      </c>
      <c r="B231" s="28" t="s">
        <v>168</v>
      </c>
      <c r="C231" s="33" t="s">
        <v>345</v>
      </c>
      <c r="D231" s="28"/>
      <c r="E231" s="31"/>
      <c r="F231" s="32">
        <v>1</v>
      </c>
      <c r="G231" s="29" t="str">
        <f t="shared" si="56"/>
        <v xml:space="preserve"> </v>
      </c>
      <c r="I231" s="30" t="s">
        <v>301</v>
      </c>
      <c r="J231" s="30" t="s">
        <v>396</v>
      </c>
      <c r="K231" s="108">
        <f>19600*10^6</f>
        <v>19600000000</v>
      </c>
      <c r="L231" s="31" t="str">
        <f t="shared" si="57"/>
        <v>±</v>
      </c>
      <c r="M231" s="59">
        <v>9000</v>
      </c>
      <c r="N231" s="113"/>
      <c r="O231" s="31">
        <f t="shared" si="66"/>
        <v>19600000</v>
      </c>
      <c r="P231" s="108">
        <f>11.6*10^6</f>
        <v>11600000</v>
      </c>
      <c r="Q231" s="31" t="str">
        <f t="shared" si="58"/>
        <v>±</v>
      </c>
      <c r="R231" s="59">
        <f>3.6*10^6</f>
        <v>3600000</v>
      </c>
      <c r="S231" s="113"/>
      <c r="T231" s="31">
        <f t="shared" si="67"/>
        <v>19600</v>
      </c>
      <c r="U231" s="113"/>
      <c r="V231" s="31">
        <f t="shared" si="70"/>
        <v>19.6</v>
      </c>
      <c r="W231" s="160">
        <v>74</v>
      </c>
      <c r="AB231" s="28"/>
      <c r="AE231" s="30"/>
      <c r="AJ231" s="28"/>
      <c r="AK231" s="35"/>
      <c r="AN231" s="238"/>
      <c r="AO231" s="237"/>
      <c r="AP231"/>
      <c r="AQ231"/>
      <c r="AR231"/>
    </row>
    <row r="232" spans="1:44" s="29" customFormat="1" ht="51">
      <c r="A232" s="143" t="s">
        <v>83</v>
      </c>
      <c r="B232" s="28" t="s">
        <v>168</v>
      </c>
      <c r="C232" s="33" t="s">
        <v>346</v>
      </c>
      <c r="D232" s="28"/>
      <c r="E232" s="31"/>
      <c r="F232" s="32">
        <v>1</v>
      </c>
      <c r="G232" s="29" t="str">
        <f t="shared" si="56"/>
        <v xml:space="preserve"> </v>
      </c>
      <c r="I232" s="30" t="s">
        <v>301</v>
      </c>
      <c r="J232" s="30" t="s">
        <v>396</v>
      </c>
      <c r="K232" s="108">
        <f>32900*10^6</f>
        <v>32900000000</v>
      </c>
      <c r="L232" s="31" t="str">
        <f t="shared" si="57"/>
        <v>±</v>
      </c>
      <c r="M232" s="59">
        <f>13600*10^6</f>
        <v>13600000000</v>
      </c>
      <c r="N232" s="113"/>
      <c r="O232" s="31">
        <f t="shared" si="66"/>
        <v>32900000</v>
      </c>
      <c r="P232" s="108">
        <f>14.8*10^6</f>
        <v>14800000</v>
      </c>
      <c r="Q232" s="31" t="str">
        <f t="shared" si="58"/>
        <v>±</v>
      </c>
      <c r="R232" s="59">
        <f>3.9*10^6</f>
        <v>3900000</v>
      </c>
      <c r="S232" s="113"/>
      <c r="T232" s="31">
        <f t="shared" si="67"/>
        <v>32900</v>
      </c>
      <c r="U232" s="113"/>
      <c r="V232" s="31">
        <f t="shared" si="70"/>
        <v>32.9</v>
      </c>
      <c r="W232" s="160">
        <v>74</v>
      </c>
      <c r="AB232" s="28"/>
      <c r="AE232" s="30"/>
      <c r="AJ232" s="28"/>
      <c r="AK232" s="35"/>
      <c r="AN232" s="238"/>
      <c r="AO232" s="237"/>
      <c r="AP232"/>
      <c r="AQ232"/>
      <c r="AR232"/>
    </row>
    <row r="233" spans="1:44" s="29" customFormat="1" ht="51">
      <c r="A233" s="143" t="s">
        <v>83</v>
      </c>
      <c r="B233" s="28" t="s">
        <v>168</v>
      </c>
      <c r="C233" s="33" t="s">
        <v>347</v>
      </c>
      <c r="D233" s="28"/>
      <c r="E233" s="31"/>
      <c r="F233" s="32">
        <v>1</v>
      </c>
      <c r="G233" s="29" t="str">
        <f t="shared" si="56"/>
        <v xml:space="preserve"> </v>
      </c>
      <c r="I233" s="30" t="s">
        <v>301</v>
      </c>
      <c r="J233" s="30" t="s">
        <v>396</v>
      </c>
      <c r="K233" s="108">
        <f>52500*10^6</f>
        <v>52500000000</v>
      </c>
      <c r="L233" s="31" t="str">
        <f t="shared" si="57"/>
        <v>±</v>
      </c>
      <c r="M233" s="59">
        <f>11800*10^6</f>
        <v>11800000000</v>
      </c>
      <c r="N233" s="113"/>
      <c r="O233" s="31">
        <f t="shared" si="66"/>
        <v>52500000</v>
      </c>
      <c r="P233" s="108">
        <f>26.9*10^6</f>
        <v>26900000</v>
      </c>
      <c r="Q233" s="31" t="str">
        <f t="shared" si="58"/>
        <v>±</v>
      </c>
      <c r="R233" s="59">
        <f>3.6*10^6</f>
        <v>3600000</v>
      </c>
      <c r="S233" s="113"/>
      <c r="T233" s="31">
        <f t="shared" si="67"/>
        <v>52500</v>
      </c>
      <c r="U233" s="113"/>
      <c r="V233" s="31">
        <f t="shared" si="70"/>
        <v>52.5</v>
      </c>
      <c r="W233" s="160">
        <v>74</v>
      </c>
      <c r="AB233" s="28"/>
      <c r="AE233" s="30"/>
      <c r="AJ233" s="28"/>
      <c r="AK233" s="35"/>
      <c r="AN233" s="238"/>
      <c r="AO233" s="237"/>
      <c r="AP233"/>
      <c r="AQ233"/>
      <c r="AR233"/>
    </row>
    <row r="234" spans="1:44" s="29" customFormat="1" ht="51">
      <c r="A234" s="143" t="s">
        <v>83</v>
      </c>
      <c r="B234" s="28" t="s">
        <v>168</v>
      </c>
      <c r="C234" s="33" t="s">
        <v>348</v>
      </c>
      <c r="D234" s="28"/>
      <c r="E234" s="31"/>
      <c r="F234" s="32">
        <v>1</v>
      </c>
      <c r="G234" s="29" t="str">
        <f t="shared" si="56"/>
        <v xml:space="preserve"> </v>
      </c>
      <c r="I234" s="30" t="s">
        <v>301</v>
      </c>
      <c r="J234" s="30" t="s">
        <v>396</v>
      </c>
      <c r="K234" s="108">
        <f>73200*10^6</f>
        <v>73200000000</v>
      </c>
      <c r="L234" s="31" t="str">
        <f t="shared" si="57"/>
        <v>±</v>
      </c>
      <c r="M234" s="59">
        <f>28800*10^6</f>
        <v>28800000000</v>
      </c>
      <c r="N234" s="113"/>
      <c r="O234" s="31">
        <f t="shared" si="66"/>
        <v>73200000</v>
      </c>
      <c r="P234" s="108">
        <f>62.8*10^6</f>
        <v>62800000</v>
      </c>
      <c r="Q234" s="31" t="str">
        <f t="shared" si="58"/>
        <v>±</v>
      </c>
      <c r="R234" s="59">
        <f>15.3*10^6</f>
        <v>15300000</v>
      </c>
      <c r="S234" s="113"/>
      <c r="T234" s="31">
        <f t="shared" si="67"/>
        <v>73200</v>
      </c>
      <c r="U234" s="113"/>
      <c r="V234" s="31">
        <f t="shared" si="70"/>
        <v>73.2</v>
      </c>
      <c r="W234" s="160">
        <v>74</v>
      </c>
      <c r="AB234" s="28"/>
      <c r="AE234" s="30"/>
      <c r="AJ234" s="28"/>
      <c r="AK234" s="35"/>
      <c r="AN234" s="238"/>
      <c r="AO234" s="237"/>
      <c r="AP234"/>
      <c r="AQ234"/>
      <c r="AR234"/>
    </row>
    <row r="235" spans="1:44" s="29" customFormat="1" ht="51">
      <c r="A235" s="143" t="s">
        <v>83</v>
      </c>
      <c r="B235" s="28" t="s">
        <v>168</v>
      </c>
      <c r="C235" s="33" t="s">
        <v>349</v>
      </c>
      <c r="D235" s="28"/>
      <c r="E235" s="31"/>
      <c r="F235" s="32">
        <v>1</v>
      </c>
      <c r="G235" s="29" t="str">
        <f t="shared" si="56"/>
        <v xml:space="preserve"> </v>
      </c>
      <c r="I235" s="30" t="s">
        <v>301</v>
      </c>
      <c r="J235" s="30" t="s">
        <v>396</v>
      </c>
      <c r="K235" s="108">
        <f>5990*10^6</f>
        <v>5990000000</v>
      </c>
      <c r="L235" s="31" t="str">
        <f t="shared" si="57"/>
        <v>±</v>
      </c>
      <c r="M235" s="59">
        <f>1900*10^6</f>
        <v>1900000000</v>
      </c>
      <c r="N235" s="113"/>
      <c r="O235" s="31">
        <f t="shared" si="66"/>
        <v>5990000</v>
      </c>
      <c r="P235" s="108">
        <f>2.9*10^6</f>
        <v>2900000</v>
      </c>
      <c r="Q235" s="31" t="str">
        <f t="shared" si="58"/>
        <v>±</v>
      </c>
      <c r="R235" s="59">
        <f>0.5*10^6</f>
        <v>500000</v>
      </c>
      <c r="S235" s="113"/>
      <c r="T235" s="31">
        <f t="shared" si="67"/>
        <v>5990</v>
      </c>
      <c r="U235" s="113"/>
      <c r="V235" s="31">
        <f t="shared" si="70"/>
        <v>5.99</v>
      </c>
      <c r="W235" s="160">
        <v>74</v>
      </c>
      <c r="AB235" s="28"/>
      <c r="AE235" s="30"/>
      <c r="AJ235" s="28"/>
      <c r="AK235" s="35"/>
      <c r="AN235" s="238"/>
      <c r="AO235" s="237"/>
      <c r="AP235"/>
      <c r="AQ235"/>
      <c r="AR235"/>
    </row>
    <row r="236" spans="1:44" s="29" customFormat="1" ht="15">
      <c r="A236" s="143" t="s">
        <v>83</v>
      </c>
      <c r="B236" s="28" t="s">
        <v>168</v>
      </c>
      <c r="C236" s="33" t="s">
        <v>107</v>
      </c>
      <c r="D236" s="28" t="s">
        <v>48</v>
      </c>
      <c r="E236" s="65" t="s">
        <v>62</v>
      </c>
      <c r="F236" s="32">
        <v>0.39</v>
      </c>
      <c r="G236" s="29" t="str">
        <f t="shared" si="56"/>
        <v xml:space="preserve"> </v>
      </c>
      <c r="I236" s="30"/>
      <c r="J236" s="30" t="s">
        <v>392</v>
      </c>
      <c r="K236" s="108">
        <v>2.5</v>
      </c>
      <c r="L236" s="31" t="str">
        <f t="shared" si="57"/>
        <v/>
      </c>
      <c r="M236" s="59"/>
      <c r="N236" s="113"/>
      <c r="O236" s="31">
        <f t="shared" si="66"/>
        <v>0.0025</v>
      </c>
      <c r="P236" s="108"/>
      <c r="Q236" s="31" t="str">
        <f t="shared" si="58"/>
        <v/>
      </c>
      <c r="R236" s="59"/>
      <c r="S236" s="113"/>
      <c r="T236" s="31">
        <f t="shared" si="67"/>
        <v>2.4999999999999998E-06</v>
      </c>
      <c r="U236" s="113"/>
      <c r="V236" s="31">
        <f t="shared" si="70"/>
        <v>2.5E-09</v>
      </c>
      <c r="W236" s="160">
        <v>75</v>
      </c>
      <c r="AB236" s="28"/>
      <c r="AE236" s="30"/>
      <c r="AJ236" s="28"/>
      <c r="AK236" s="35"/>
      <c r="AN236" s="238"/>
      <c r="AO236" s="237"/>
      <c r="AP236"/>
      <c r="AQ236"/>
      <c r="AR236"/>
    </row>
    <row r="237" spans="1:44" s="29" customFormat="1" ht="25.5">
      <c r="A237" s="143" t="s">
        <v>83</v>
      </c>
      <c r="B237" s="28" t="s">
        <v>168</v>
      </c>
      <c r="C237" s="33" t="s">
        <v>108</v>
      </c>
      <c r="D237" s="28" t="s">
        <v>531</v>
      </c>
      <c r="E237" s="65" t="s">
        <v>62</v>
      </c>
      <c r="F237" s="32">
        <v>0.25</v>
      </c>
      <c r="G237" s="29" t="str">
        <f t="shared" si="56"/>
        <v xml:space="preserve"> </v>
      </c>
      <c r="I237" s="30"/>
      <c r="J237" s="73" t="s">
        <v>391</v>
      </c>
      <c r="K237" s="108">
        <f>(4/3)*3.14*(100^3)</f>
        <v>4186666.6666666665</v>
      </c>
      <c r="L237" s="31" t="str">
        <f t="shared" si="57"/>
        <v/>
      </c>
      <c r="M237" s="59"/>
      <c r="N237" s="113"/>
      <c r="O237" s="31">
        <f t="shared" si="66"/>
        <v>4186.666666666666</v>
      </c>
      <c r="P237" s="108"/>
      <c r="Q237" s="31" t="str">
        <f t="shared" si="58"/>
        <v/>
      </c>
      <c r="R237" s="59"/>
      <c r="S237" s="113"/>
      <c r="T237" s="31">
        <f t="shared" si="67"/>
        <v>4.1866666666666665</v>
      </c>
      <c r="U237" s="113"/>
      <c r="V237" s="31">
        <f t="shared" si="70"/>
        <v>0.004186666666666667</v>
      </c>
      <c r="W237" s="160">
        <v>75</v>
      </c>
      <c r="AB237" s="28"/>
      <c r="AE237" s="30"/>
      <c r="AJ237" s="28"/>
      <c r="AK237" s="35"/>
      <c r="AN237" s="238"/>
      <c r="AO237" s="237"/>
      <c r="AP237"/>
      <c r="AQ237"/>
      <c r="AR237"/>
    </row>
    <row r="238" spans="1:44" s="29" customFormat="1" ht="15">
      <c r="A238" s="143" t="s">
        <v>83</v>
      </c>
      <c r="B238" s="28" t="s">
        <v>168</v>
      </c>
      <c r="C238" s="33" t="s">
        <v>109</v>
      </c>
      <c r="D238" s="28"/>
      <c r="E238" s="65" t="s">
        <v>62</v>
      </c>
      <c r="F238" s="32">
        <v>0.75</v>
      </c>
      <c r="G238" s="29" t="str">
        <f t="shared" si="56"/>
        <v xml:space="preserve"> </v>
      </c>
      <c r="I238" s="30"/>
      <c r="J238" s="30" t="s">
        <v>390</v>
      </c>
      <c r="K238" s="108">
        <v>400000000</v>
      </c>
      <c r="L238" s="31" t="str">
        <f t="shared" si="57"/>
        <v>±</v>
      </c>
      <c r="M238" s="59">
        <v>100000000</v>
      </c>
      <c r="N238" s="113"/>
      <c r="O238" s="31">
        <f t="shared" si="66"/>
        <v>400000</v>
      </c>
      <c r="P238" s="108"/>
      <c r="Q238" s="31" t="str">
        <f t="shared" si="58"/>
        <v/>
      </c>
      <c r="R238" s="59"/>
      <c r="S238" s="113"/>
      <c r="T238" s="31">
        <f t="shared" si="67"/>
        <v>400</v>
      </c>
      <c r="U238" s="113"/>
      <c r="V238" s="31">
        <f t="shared" si="70"/>
        <v>0.4</v>
      </c>
      <c r="W238" s="160">
        <v>75</v>
      </c>
      <c r="AB238" s="28"/>
      <c r="AE238" s="30"/>
      <c r="AJ238" s="28"/>
      <c r="AK238" s="35"/>
      <c r="AN238" s="238"/>
      <c r="AO238" s="237"/>
      <c r="AP238"/>
      <c r="AQ238"/>
      <c r="AR238"/>
    </row>
    <row r="239" spans="1:44" s="29" customFormat="1" ht="25.5">
      <c r="A239" s="143" t="s">
        <v>83</v>
      </c>
      <c r="B239" s="28" t="s">
        <v>168</v>
      </c>
      <c r="C239" s="33" t="s">
        <v>110</v>
      </c>
      <c r="D239" s="28" t="s">
        <v>532</v>
      </c>
      <c r="E239" s="65" t="s">
        <v>62</v>
      </c>
      <c r="F239" s="32">
        <v>0.167</v>
      </c>
      <c r="G239" s="29" t="str">
        <f t="shared" si="56"/>
        <v xml:space="preserve"> </v>
      </c>
      <c r="I239" s="30"/>
      <c r="J239" s="73" t="s">
        <v>393</v>
      </c>
      <c r="K239" s="108">
        <f>4*3.14*(100^2)</f>
        <v>125600</v>
      </c>
      <c r="L239" s="31" t="str">
        <f t="shared" si="57"/>
        <v/>
      </c>
      <c r="M239" s="59"/>
      <c r="N239" s="113"/>
      <c r="O239" s="31">
        <f t="shared" si="66"/>
        <v>125.6</v>
      </c>
      <c r="P239" s="108"/>
      <c r="Q239" s="31" t="str">
        <f t="shared" si="58"/>
        <v/>
      </c>
      <c r="R239" s="59"/>
      <c r="S239" s="113"/>
      <c r="T239" s="31">
        <f t="shared" si="67"/>
        <v>0.1256</v>
      </c>
      <c r="U239" s="113"/>
      <c r="V239" s="31">
        <f t="shared" si="70"/>
        <v>0.00012560000000000002</v>
      </c>
      <c r="W239" s="160">
        <v>75</v>
      </c>
      <c r="AB239" s="28"/>
      <c r="AE239" s="30"/>
      <c r="AJ239" s="28"/>
      <c r="AK239" s="35"/>
      <c r="AN239" s="238"/>
      <c r="AO239" s="237"/>
      <c r="AP239"/>
      <c r="AQ239"/>
      <c r="AR239"/>
    </row>
    <row r="240" spans="1:44" s="29" customFormat="1" ht="15">
      <c r="A240" s="143" t="s">
        <v>83</v>
      </c>
      <c r="B240" s="28" t="s">
        <v>168</v>
      </c>
      <c r="C240" s="33" t="s">
        <v>111</v>
      </c>
      <c r="D240" s="28" t="s">
        <v>529</v>
      </c>
      <c r="E240" s="65" t="s">
        <v>62</v>
      </c>
      <c r="F240" s="32">
        <v>0.95</v>
      </c>
      <c r="G240" s="29" t="str">
        <f t="shared" si="56"/>
        <v xml:space="preserve"> </v>
      </c>
      <c r="I240" s="30"/>
      <c r="J240" s="30" t="s">
        <v>394</v>
      </c>
      <c r="K240" s="108">
        <v>70</v>
      </c>
      <c r="L240" s="31" t="str">
        <f t="shared" si="57"/>
        <v/>
      </c>
      <c r="M240" s="59"/>
      <c r="N240" s="113"/>
      <c r="O240" s="31">
        <f t="shared" si="66"/>
        <v>0.07</v>
      </c>
      <c r="P240" s="108"/>
      <c r="Q240" s="31" t="str">
        <f t="shared" si="58"/>
        <v/>
      </c>
      <c r="R240" s="59"/>
      <c r="S240" s="113"/>
      <c r="T240" s="31">
        <f t="shared" si="67"/>
        <v>7E-05</v>
      </c>
      <c r="U240" s="113"/>
      <c r="V240" s="31">
        <f t="shared" si="70"/>
        <v>7E-08</v>
      </c>
      <c r="W240" s="160">
        <v>75</v>
      </c>
      <c r="AB240" s="28"/>
      <c r="AE240" s="30"/>
      <c r="AJ240" s="28"/>
      <c r="AK240" s="35"/>
      <c r="AN240" s="238"/>
      <c r="AO240" s="237"/>
      <c r="AP240"/>
      <c r="AQ240"/>
      <c r="AR240"/>
    </row>
    <row r="241" spans="1:44" s="29" customFormat="1" ht="15">
      <c r="A241" s="143" t="s">
        <v>83</v>
      </c>
      <c r="B241" s="28" t="s">
        <v>128</v>
      </c>
      <c r="C241" s="33" t="s">
        <v>350</v>
      </c>
      <c r="D241" s="28" t="s">
        <v>112</v>
      </c>
      <c r="E241" s="65" t="s">
        <v>62</v>
      </c>
      <c r="F241" s="32">
        <v>0.75</v>
      </c>
      <c r="G241" s="29" t="str">
        <f t="shared" si="56"/>
        <v xml:space="preserve"> </v>
      </c>
      <c r="I241" s="30"/>
      <c r="J241" s="30" t="s">
        <v>395</v>
      </c>
      <c r="K241" s="108">
        <v>0.2</v>
      </c>
      <c r="L241" s="31" t="str">
        <f t="shared" si="57"/>
        <v/>
      </c>
      <c r="M241" s="59"/>
      <c r="N241" s="113"/>
      <c r="O241" s="31">
        <f t="shared" si="66"/>
        <v>0.0002</v>
      </c>
      <c r="P241" s="108">
        <v>0.84</v>
      </c>
      <c r="Q241" s="31" t="str">
        <f t="shared" si="58"/>
        <v/>
      </c>
      <c r="R241" s="59"/>
      <c r="S241" s="113"/>
      <c r="T241" s="31">
        <f t="shared" si="67"/>
        <v>2E-07</v>
      </c>
      <c r="U241" s="113"/>
      <c r="V241" s="31">
        <f t="shared" si="70"/>
        <v>2.0000000000000003E-10</v>
      </c>
      <c r="W241" s="160">
        <v>75</v>
      </c>
      <c r="AB241" s="28"/>
      <c r="AE241" s="30"/>
      <c r="AJ241" s="28"/>
      <c r="AK241" s="35"/>
      <c r="AN241" s="238"/>
      <c r="AO241" s="237"/>
      <c r="AP241"/>
      <c r="AQ241"/>
      <c r="AR241"/>
    </row>
    <row r="242" spans="1:48" s="142" customFormat="1" ht="15">
      <c r="A242" s="166" t="s">
        <v>175</v>
      </c>
      <c r="B242" s="167"/>
      <c r="C242" s="168"/>
      <c r="D242" s="167"/>
      <c r="E242" s="169"/>
      <c r="F242" s="170"/>
      <c r="G242" s="171" t="str">
        <f t="shared" si="56"/>
        <v xml:space="preserve"> </v>
      </c>
      <c r="H242" s="171"/>
      <c r="I242" s="172"/>
      <c r="J242" s="172"/>
      <c r="K242" s="173"/>
      <c r="L242" s="169"/>
      <c r="M242" s="174"/>
      <c r="N242" s="175"/>
      <c r="O242" s="169"/>
      <c r="P242" s="173"/>
      <c r="Q242" s="169"/>
      <c r="R242" s="174"/>
      <c r="S242" s="175"/>
      <c r="T242" s="169"/>
      <c r="U242" s="175"/>
      <c r="V242" s="169"/>
      <c r="W242" s="176" t="s">
        <v>175</v>
      </c>
      <c r="X242" s="248"/>
      <c r="Y242" s="248"/>
      <c r="Z242" s="248"/>
      <c r="AA242" s="248"/>
      <c r="AB242" s="137"/>
      <c r="AC242" s="250"/>
      <c r="AD242" s="177"/>
      <c r="AE242" s="248"/>
      <c r="AF242" s="141"/>
      <c r="AG242" s="141"/>
      <c r="AH242" s="141"/>
      <c r="AI242" s="141"/>
      <c r="AJ242" s="137"/>
      <c r="AK242" s="177"/>
      <c r="AL242" s="141"/>
      <c r="AM242" s="141"/>
      <c r="AN242" s="244"/>
      <c r="AO242" s="245"/>
      <c r="AP242" s="140"/>
      <c r="AQ242" s="140"/>
      <c r="AR242" s="140"/>
      <c r="AS242" s="141"/>
      <c r="AT242" s="141"/>
      <c r="AU242" s="141"/>
      <c r="AV242" s="141"/>
    </row>
    <row r="243" spans="1:44" ht="15">
      <c r="A243" s="143" t="s">
        <v>175</v>
      </c>
      <c r="B243" s="28" t="s">
        <v>168</v>
      </c>
      <c r="C243" s="152" t="s">
        <v>203</v>
      </c>
      <c r="D243" s="76" t="s">
        <v>13</v>
      </c>
      <c r="E243" s="65">
        <v>0.076</v>
      </c>
      <c r="F243" s="75">
        <v>1</v>
      </c>
      <c r="G243" s="29" t="str">
        <f t="shared" si="56"/>
        <v xml:space="preserve"> </v>
      </c>
      <c r="H243" s="54"/>
      <c r="I243" s="30"/>
      <c r="J243" s="30" t="s">
        <v>204</v>
      </c>
      <c r="K243" s="109">
        <v>4850</v>
      </c>
      <c r="L243" s="31" t="str">
        <f aca="true" t="shared" si="71" ref="L243:L260">IF(COUNT(M243)=1,"±","")</f>
        <v>±</v>
      </c>
      <c r="M243" s="87">
        <v>150</v>
      </c>
      <c r="N243" s="115">
        <f aca="true" t="shared" si="72" ref="N243:N260">E243*(N$4)^F243</f>
        <v>0.00532</v>
      </c>
      <c r="O243" s="65">
        <f>K243/1000</f>
        <v>4.85</v>
      </c>
      <c r="P243" s="109">
        <v>2</v>
      </c>
      <c r="Q243" s="31" t="s">
        <v>14</v>
      </c>
      <c r="R243" s="59">
        <v>0.5</v>
      </c>
      <c r="S243" s="113">
        <f aca="true" t="shared" si="73" ref="S243:S260">E243*(S$4)^F243</f>
        <v>5.320000000000001E-06</v>
      </c>
      <c r="T243" s="65">
        <f>O243/1000</f>
        <v>0.004849999999999999</v>
      </c>
      <c r="U243" s="115">
        <f aca="true" t="shared" si="74" ref="U243:U260">E243*(U$4)^F243</f>
        <v>5.32E-09</v>
      </c>
      <c r="V243" s="65">
        <f>T243/1000</f>
        <v>4.849999999999999E-06</v>
      </c>
      <c r="W243" s="160" t="s">
        <v>560</v>
      </c>
      <c r="AC243" s="74"/>
      <c r="AK243" s="80"/>
      <c r="AL243" s="30"/>
      <c r="AM243" s="30"/>
      <c r="AN243" s="238"/>
      <c r="AO243" s="237"/>
      <c r="AP243"/>
      <c r="AQ243"/>
      <c r="AR243"/>
    </row>
    <row r="244" spans="1:44" ht="15">
      <c r="A244" s="143" t="s">
        <v>175</v>
      </c>
      <c r="B244" s="28" t="s">
        <v>168</v>
      </c>
      <c r="C244" s="33" t="s">
        <v>202</v>
      </c>
      <c r="D244" s="28" t="s">
        <v>193</v>
      </c>
      <c r="E244" s="31">
        <v>5.68</v>
      </c>
      <c r="F244" s="32">
        <v>0.296</v>
      </c>
      <c r="G244" s="29" t="str">
        <f t="shared" si="56"/>
        <v xml:space="preserve"> </v>
      </c>
      <c r="H244" s="29"/>
      <c r="I244" s="30"/>
      <c r="J244" s="30" t="s">
        <v>205</v>
      </c>
      <c r="K244" s="108">
        <v>45</v>
      </c>
      <c r="L244" s="31" t="str">
        <f t="shared" si="71"/>
        <v>±</v>
      </c>
      <c r="M244" s="59">
        <v>10</v>
      </c>
      <c r="N244" s="115">
        <f t="shared" si="72"/>
        <v>2.585219097962427</v>
      </c>
      <c r="O244" s="31">
        <f aca="true" t="shared" si="75" ref="O244:O260">K244</f>
        <v>45</v>
      </c>
      <c r="P244" s="108">
        <v>27.5</v>
      </c>
      <c r="Q244" s="31" t="s">
        <v>14</v>
      </c>
      <c r="R244" s="59">
        <v>2.5</v>
      </c>
      <c r="S244" s="113">
        <f t="shared" si="73"/>
        <v>0.3345779805820058</v>
      </c>
      <c r="T244" s="31">
        <f aca="true" t="shared" si="76" ref="T244:T260">K244</f>
        <v>45</v>
      </c>
      <c r="U244" s="115">
        <f t="shared" si="74"/>
        <v>0.04330094311099659</v>
      </c>
      <c r="V244" s="31">
        <f aca="true" t="shared" si="77" ref="V244:V260">K244</f>
        <v>45</v>
      </c>
      <c r="W244" s="160">
        <v>61</v>
      </c>
      <c r="AK244" s="80"/>
      <c r="AL244" s="30"/>
      <c r="AM244" s="30"/>
      <c r="AN244" s="238"/>
      <c r="AO244" s="237"/>
      <c r="AP244"/>
      <c r="AQ244"/>
      <c r="AR244"/>
    </row>
    <row r="245" spans="1:44" ht="15">
      <c r="A245" s="143" t="s">
        <v>175</v>
      </c>
      <c r="B245" s="28" t="s">
        <v>168</v>
      </c>
      <c r="C245" s="33" t="s">
        <v>201</v>
      </c>
      <c r="D245" s="28" t="s">
        <v>188</v>
      </c>
      <c r="E245" s="31">
        <v>58.3</v>
      </c>
      <c r="F245" s="32">
        <v>0.143</v>
      </c>
      <c r="G245" s="29" t="str">
        <f t="shared" si="56"/>
        <v xml:space="preserve"> </v>
      </c>
      <c r="H245" s="29"/>
      <c r="I245" s="30"/>
      <c r="J245" s="30" t="s">
        <v>204</v>
      </c>
      <c r="K245" s="108">
        <v>89</v>
      </c>
      <c r="L245" s="31" t="str">
        <f t="shared" si="71"/>
        <v>±</v>
      </c>
      <c r="M245" s="59">
        <v>29</v>
      </c>
      <c r="N245" s="115">
        <f t="shared" si="72"/>
        <v>39.85819012964621</v>
      </c>
      <c r="O245" s="31">
        <f t="shared" si="75"/>
        <v>89</v>
      </c>
      <c r="P245" s="108">
        <v>48.6</v>
      </c>
      <c r="Q245" s="31" t="s">
        <v>14</v>
      </c>
      <c r="R245" s="59">
        <v>30.9</v>
      </c>
      <c r="S245" s="113">
        <f t="shared" si="73"/>
        <v>14.842859430597956</v>
      </c>
      <c r="T245" s="31">
        <f t="shared" si="76"/>
        <v>89</v>
      </c>
      <c r="U245" s="115">
        <f t="shared" si="74"/>
        <v>5.527357749057088</v>
      </c>
      <c r="V245" s="31">
        <f t="shared" si="77"/>
        <v>89</v>
      </c>
      <c r="W245" s="160" t="s">
        <v>561</v>
      </c>
      <c r="AK245" s="80"/>
      <c r="AL245" s="30"/>
      <c r="AM245" s="30"/>
      <c r="AN245" s="238"/>
      <c r="AO245" s="237"/>
      <c r="AP245"/>
      <c r="AQ245"/>
      <c r="AR245"/>
    </row>
    <row r="246" spans="1:44" ht="15">
      <c r="A246" s="143" t="s">
        <v>175</v>
      </c>
      <c r="B246" s="28" t="s">
        <v>168</v>
      </c>
      <c r="C246" s="33" t="s">
        <v>200</v>
      </c>
      <c r="D246" s="28" t="s">
        <v>185</v>
      </c>
      <c r="E246" s="31">
        <v>5.2</v>
      </c>
      <c r="F246" s="32">
        <v>-0.032</v>
      </c>
      <c r="G246" s="29" t="str">
        <f t="shared" si="56"/>
        <v xml:space="preserve"> </v>
      </c>
      <c r="H246" s="29"/>
      <c r="I246" s="30"/>
      <c r="J246" s="30" t="s">
        <v>204</v>
      </c>
      <c r="K246" s="108">
        <v>4.8</v>
      </c>
      <c r="L246" s="31" t="str">
        <f t="shared" si="71"/>
        <v>±</v>
      </c>
      <c r="M246" s="59">
        <v>1.3</v>
      </c>
      <c r="N246" s="115">
        <f t="shared" si="72"/>
        <v>5.6618740789704995</v>
      </c>
      <c r="O246" s="31">
        <f t="shared" si="75"/>
        <v>4.8</v>
      </c>
      <c r="P246" s="108">
        <v>6.25</v>
      </c>
      <c r="Q246" s="31" t="s">
        <v>14</v>
      </c>
      <c r="R246" s="59">
        <v>1.25</v>
      </c>
      <c r="S246" s="113">
        <f t="shared" si="73"/>
        <v>7.062528385827248</v>
      </c>
      <c r="T246" s="31">
        <f t="shared" si="76"/>
        <v>4.8</v>
      </c>
      <c r="U246" s="115">
        <f t="shared" si="74"/>
        <v>8.809681477353733</v>
      </c>
      <c r="V246" s="31">
        <f t="shared" si="77"/>
        <v>4.8</v>
      </c>
      <c r="W246" s="160" t="s">
        <v>562</v>
      </c>
      <c r="AK246" s="80"/>
      <c r="AL246" s="30"/>
      <c r="AM246" s="30"/>
      <c r="AN246" s="238"/>
      <c r="AO246" s="237"/>
      <c r="AP246"/>
      <c r="AQ246"/>
      <c r="AR246"/>
    </row>
    <row r="247" spans="1:44" ht="15">
      <c r="A247" s="143" t="s">
        <v>175</v>
      </c>
      <c r="B247" s="28" t="s">
        <v>168</v>
      </c>
      <c r="C247" s="33" t="s">
        <v>199</v>
      </c>
      <c r="D247" s="28" t="s">
        <v>185</v>
      </c>
      <c r="E247" s="31">
        <v>7.3</v>
      </c>
      <c r="F247" s="32">
        <v>-0.083</v>
      </c>
      <c r="G247" s="29" t="str">
        <f t="shared" si="56"/>
        <v xml:space="preserve"> </v>
      </c>
      <c r="H247" s="29"/>
      <c r="I247" s="30"/>
      <c r="J247" s="30" t="s">
        <v>204</v>
      </c>
      <c r="K247" s="108">
        <v>4.1</v>
      </c>
      <c r="L247" s="31" t="str">
        <f t="shared" si="71"/>
        <v>±</v>
      </c>
      <c r="M247" s="59">
        <v>2.9</v>
      </c>
      <c r="N247" s="115">
        <f t="shared" si="72"/>
        <v>9.102898972704896</v>
      </c>
      <c r="O247" s="31">
        <f t="shared" si="75"/>
        <v>4.1</v>
      </c>
      <c r="P247" s="108">
        <v>3.41</v>
      </c>
      <c r="Q247" s="31" t="s">
        <v>14</v>
      </c>
      <c r="R247" s="59">
        <v>2.08</v>
      </c>
      <c r="S247" s="113">
        <f t="shared" si="73"/>
        <v>16.15026760297892</v>
      </c>
      <c r="T247" s="31">
        <f t="shared" si="76"/>
        <v>4.1</v>
      </c>
      <c r="U247" s="115">
        <f t="shared" si="74"/>
        <v>28.653634894766437</v>
      </c>
      <c r="V247" s="31">
        <f t="shared" si="77"/>
        <v>4.1</v>
      </c>
      <c r="W247" s="160" t="s">
        <v>561</v>
      </c>
      <c r="AK247" s="80"/>
      <c r="AL247" s="30"/>
      <c r="AM247" s="30"/>
      <c r="AN247" s="238"/>
      <c r="AO247" s="237"/>
      <c r="AP247"/>
      <c r="AQ247"/>
      <c r="AR247"/>
    </row>
    <row r="248" spans="1:44" ht="15">
      <c r="A248" s="143" t="s">
        <v>175</v>
      </c>
      <c r="B248" s="28" t="s">
        <v>168</v>
      </c>
      <c r="C248" s="33" t="s">
        <v>198</v>
      </c>
      <c r="D248" s="28" t="s">
        <v>197</v>
      </c>
      <c r="E248" s="31">
        <v>42.1</v>
      </c>
      <c r="F248" s="32">
        <v>-0.021</v>
      </c>
      <c r="G248" s="29" t="str">
        <f t="shared" si="56"/>
        <v xml:space="preserve"> </v>
      </c>
      <c r="H248" s="29"/>
      <c r="I248" s="30"/>
      <c r="J248" s="30" t="s">
        <v>204</v>
      </c>
      <c r="K248" s="108">
        <v>50.5</v>
      </c>
      <c r="L248" s="31" t="str">
        <f t="shared" si="71"/>
        <v>±</v>
      </c>
      <c r="M248" s="59">
        <v>11.5</v>
      </c>
      <c r="N248" s="115">
        <f t="shared" si="72"/>
        <v>44.51793766128817</v>
      </c>
      <c r="O248" s="31">
        <f t="shared" si="75"/>
        <v>50.5</v>
      </c>
      <c r="P248" s="108">
        <v>44</v>
      </c>
      <c r="Q248" s="31" t="s">
        <v>14</v>
      </c>
      <c r="R248" s="59">
        <v>5</v>
      </c>
      <c r="S248" s="113">
        <f t="shared" si="73"/>
        <v>51.46773272735996</v>
      </c>
      <c r="T248" s="31">
        <f t="shared" si="76"/>
        <v>50.5</v>
      </c>
      <c r="U248" s="115">
        <f t="shared" si="74"/>
        <v>59.50247588397178</v>
      </c>
      <c r="V248" s="31">
        <f t="shared" si="77"/>
        <v>50.5</v>
      </c>
      <c r="W248" s="160" t="s">
        <v>563</v>
      </c>
      <c r="AK248" s="80"/>
      <c r="AL248" s="30"/>
      <c r="AM248" s="30"/>
      <c r="AN248" s="238"/>
      <c r="AO248" s="237"/>
      <c r="AP248"/>
      <c r="AQ248"/>
      <c r="AR248"/>
    </row>
    <row r="249" spans="1:44" ht="15">
      <c r="A249" s="143" t="s">
        <v>175</v>
      </c>
      <c r="B249" s="28" t="s">
        <v>168</v>
      </c>
      <c r="C249" s="33" t="s">
        <v>177</v>
      </c>
      <c r="D249" s="28" t="s">
        <v>193</v>
      </c>
      <c r="E249" s="31">
        <v>143.8</v>
      </c>
      <c r="F249" s="32">
        <v>-0.024</v>
      </c>
      <c r="G249" s="29" t="str">
        <f t="shared" si="56"/>
        <v xml:space="preserve"> </v>
      </c>
      <c r="H249" s="29"/>
      <c r="I249" s="30"/>
      <c r="J249" s="30" t="s">
        <v>204</v>
      </c>
      <c r="K249" s="108">
        <v>152.5</v>
      </c>
      <c r="L249" s="31" t="str">
        <f t="shared" si="71"/>
        <v>±</v>
      </c>
      <c r="M249" s="59">
        <v>22.5</v>
      </c>
      <c r="N249" s="115">
        <f t="shared" si="72"/>
        <v>153.2768381652273</v>
      </c>
      <c r="O249" s="31">
        <f t="shared" si="75"/>
        <v>152.5</v>
      </c>
      <c r="P249" s="108">
        <v>134</v>
      </c>
      <c r="Q249" s="31" t="s">
        <v>14</v>
      </c>
      <c r="R249" s="59">
        <v>32</v>
      </c>
      <c r="S249" s="113">
        <f t="shared" si="73"/>
        <v>180.9158150538684</v>
      </c>
      <c r="T249" s="31">
        <f t="shared" si="76"/>
        <v>152.5</v>
      </c>
      <c r="U249" s="115">
        <f t="shared" si="74"/>
        <v>213.5386698238327</v>
      </c>
      <c r="V249" s="31">
        <f t="shared" si="77"/>
        <v>152.5</v>
      </c>
      <c r="W249" s="160" t="s">
        <v>563</v>
      </c>
      <c r="AK249" s="80"/>
      <c r="AL249" s="30"/>
      <c r="AM249" s="30"/>
      <c r="AN249" s="238"/>
      <c r="AO249" s="237"/>
      <c r="AP249"/>
      <c r="AQ249"/>
      <c r="AR249"/>
    </row>
    <row r="250" spans="1:44" ht="15">
      <c r="A250" s="143" t="s">
        <v>175</v>
      </c>
      <c r="B250" s="28" t="s">
        <v>168</v>
      </c>
      <c r="C250" s="33" t="s">
        <v>196</v>
      </c>
      <c r="D250" s="28" t="s">
        <v>185</v>
      </c>
      <c r="E250" s="31">
        <v>6.4</v>
      </c>
      <c r="F250" s="32">
        <v>-0.047</v>
      </c>
      <c r="G250" s="29" t="str">
        <f t="shared" si="56"/>
        <v xml:space="preserve"> </v>
      </c>
      <c r="H250" s="29"/>
      <c r="I250" s="30"/>
      <c r="J250" s="30" t="s">
        <v>204</v>
      </c>
      <c r="K250" s="108">
        <v>4.95</v>
      </c>
      <c r="L250" s="31" t="str">
        <f t="shared" si="71"/>
        <v>±</v>
      </c>
      <c r="M250" s="59">
        <v>1.15</v>
      </c>
      <c r="N250" s="115">
        <f t="shared" si="72"/>
        <v>7.252042926229713</v>
      </c>
      <c r="O250" s="31">
        <f t="shared" si="75"/>
        <v>4.95</v>
      </c>
      <c r="P250" s="108">
        <v>6.58</v>
      </c>
      <c r="Q250" s="31" t="s">
        <v>14</v>
      </c>
      <c r="R250" s="59">
        <v>3.14</v>
      </c>
      <c r="S250" s="113">
        <f t="shared" si="73"/>
        <v>10.033682771591565</v>
      </c>
      <c r="T250" s="31">
        <f t="shared" si="76"/>
        <v>4.95</v>
      </c>
      <c r="U250" s="115">
        <f t="shared" si="74"/>
        <v>13.882266140042482</v>
      </c>
      <c r="V250" s="31">
        <f t="shared" si="77"/>
        <v>4.95</v>
      </c>
      <c r="W250" s="160" t="s">
        <v>561</v>
      </c>
      <c r="AK250" s="80"/>
      <c r="AL250" s="30"/>
      <c r="AM250" s="30"/>
      <c r="AN250" s="238"/>
      <c r="AO250" s="237"/>
      <c r="AP250"/>
      <c r="AQ250"/>
      <c r="AR250"/>
    </row>
    <row r="251" spans="1:44" ht="15">
      <c r="A251" s="143" t="s">
        <v>175</v>
      </c>
      <c r="B251" s="28" t="s">
        <v>168</v>
      </c>
      <c r="C251" s="33" t="s">
        <v>195</v>
      </c>
      <c r="D251" s="28" t="s">
        <v>185</v>
      </c>
      <c r="E251" s="31">
        <v>0.9</v>
      </c>
      <c r="F251" s="32">
        <v>-0.135</v>
      </c>
      <c r="G251" s="29" t="str">
        <f t="shared" si="56"/>
        <v xml:space="preserve"> </v>
      </c>
      <c r="H251" s="29"/>
      <c r="I251" s="30"/>
      <c r="J251" s="30" t="s">
        <v>204</v>
      </c>
      <c r="K251" s="108">
        <v>0.9</v>
      </c>
      <c r="L251" s="31" t="str">
        <f t="shared" si="71"/>
        <v>±</v>
      </c>
      <c r="M251" s="59">
        <v>0.3</v>
      </c>
      <c r="N251" s="115">
        <f t="shared" si="72"/>
        <v>1.288707256710609</v>
      </c>
      <c r="O251" s="31">
        <f t="shared" si="75"/>
        <v>0.9</v>
      </c>
      <c r="P251" s="108">
        <v>0.922</v>
      </c>
      <c r="Q251" s="31" t="s">
        <v>14</v>
      </c>
      <c r="R251" s="59">
        <v>0.24</v>
      </c>
      <c r="S251" s="113">
        <f t="shared" si="73"/>
        <v>3.27456996474498</v>
      </c>
      <c r="T251" s="31">
        <f t="shared" si="76"/>
        <v>0.9</v>
      </c>
      <c r="U251" s="115">
        <f t="shared" si="74"/>
        <v>8.320592902828544</v>
      </c>
      <c r="V251" s="31">
        <f t="shared" si="77"/>
        <v>0.9</v>
      </c>
      <c r="W251" s="160" t="s">
        <v>561</v>
      </c>
      <c r="AK251" s="80"/>
      <c r="AL251" s="30"/>
      <c r="AM251" s="30"/>
      <c r="AN251" s="238"/>
      <c r="AO251" s="237"/>
      <c r="AP251"/>
      <c r="AQ251"/>
      <c r="AR251"/>
    </row>
    <row r="252" spans="1:44" ht="15">
      <c r="A252" s="143" t="s">
        <v>175</v>
      </c>
      <c r="B252" s="28" t="s">
        <v>168</v>
      </c>
      <c r="C252" s="33" t="s">
        <v>194</v>
      </c>
      <c r="D252" s="28" t="s">
        <v>193</v>
      </c>
      <c r="E252" s="31">
        <v>64.3</v>
      </c>
      <c r="F252" s="32">
        <v>0.013</v>
      </c>
      <c r="G252" s="29" t="str">
        <f t="shared" si="56"/>
        <v xml:space="preserve"> </v>
      </c>
      <c r="H252" s="29"/>
      <c r="I252" s="30"/>
      <c r="J252" s="30" t="s">
        <v>207</v>
      </c>
      <c r="K252" s="108">
        <v>72</v>
      </c>
      <c r="L252" s="31" t="str">
        <f t="shared" si="71"/>
        <v>±</v>
      </c>
      <c r="M252" s="59">
        <v>12</v>
      </c>
      <c r="N252" s="115">
        <f t="shared" si="72"/>
        <v>62.11510839684488</v>
      </c>
      <c r="O252" s="31">
        <f t="shared" si="75"/>
        <v>72</v>
      </c>
      <c r="P252" s="108">
        <v>53.5</v>
      </c>
      <c r="Q252" s="31" t="s">
        <v>14</v>
      </c>
      <c r="R252" s="59">
        <v>18.5</v>
      </c>
      <c r="S252" s="113">
        <f t="shared" si="73"/>
        <v>56.78024308091583</v>
      </c>
      <c r="T252" s="31">
        <f t="shared" si="76"/>
        <v>72</v>
      </c>
      <c r="U252" s="115">
        <f t="shared" si="74"/>
        <v>51.90357205416472</v>
      </c>
      <c r="V252" s="31">
        <f t="shared" si="77"/>
        <v>72</v>
      </c>
      <c r="W252" s="160" t="s">
        <v>561</v>
      </c>
      <c r="AK252" s="80"/>
      <c r="AL252" s="30"/>
      <c r="AM252" s="30"/>
      <c r="AN252" s="238"/>
      <c r="AO252" s="237"/>
      <c r="AP252"/>
      <c r="AQ252"/>
      <c r="AR252"/>
    </row>
    <row r="253" spans="1:44" ht="15">
      <c r="A253" s="143" t="s">
        <v>175</v>
      </c>
      <c r="B253" s="28" t="s">
        <v>168</v>
      </c>
      <c r="C253" s="33" t="s">
        <v>192</v>
      </c>
      <c r="D253" s="28" t="s">
        <v>185</v>
      </c>
      <c r="E253" s="31">
        <v>2.6</v>
      </c>
      <c r="F253" s="32">
        <v>-0.01</v>
      </c>
      <c r="G253" s="29" t="str">
        <f t="shared" si="56"/>
        <v xml:space="preserve"> </v>
      </c>
      <c r="H253" s="29"/>
      <c r="I253" s="30"/>
      <c r="J253" s="30" t="s">
        <v>208</v>
      </c>
      <c r="K253" s="108">
        <v>1.165</v>
      </c>
      <c r="L253" s="31" t="str">
        <f t="shared" si="71"/>
        <v>±</v>
      </c>
      <c r="M253" s="59">
        <v>0.135</v>
      </c>
      <c r="N253" s="115">
        <f t="shared" si="72"/>
        <v>2.6700682807419653</v>
      </c>
      <c r="O253" s="31">
        <f t="shared" si="75"/>
        <v>1.165</v>
      </c>
      <c r="P253" s="108">
        <v>2.15</v>
      </c>
      <c r="Q253" s="31" t="s">
        <v>14</v>
      </c>
      <c r="R253" s="59">
        <v>0.37</v>
      </c>
      <c r="S253" s="113">
        <f t="shared" si="73"/>
        <v>2.8610297091176013</v>
      </c>
      <c r="T253" s="31">
        <f t="shared" si="76"/>
        <v>1.165</v>
      </c>
      <c r="U253" s="115">
        <f t="shared" si="74"/>
        <v>3.065648566177843</v>
      </c>
      <c r="V253" s="31">
        <f t="shared" si="77"/>
        <v>1.165</v>
      </c>
      <c r="W253" s="160" t="s">
        <v>307</v>
      </c>
      <c r="AN253" s="238"/>
      <c r="AO253" s="237"/>
      <c r="AP253"/>
      <c r="AQ253"/>
      <c r="AR253"/>
    </row>
    <row r="254" spans="1:44" ht="15">
      <c r="A254" s="143" t="s">
        <v>175</v>
      </c>
      <c r="B254" s="28" t="s">
        <v>168</v>
      </c>
      <c r="C254" s="33" t="s">
        <v>191</v>
      </c>
      <c r="D254" s="28" t="s">
        <v>185</v>
      </c>
      <c r="E254" s="31">
        <v>145.5</v>
      </c>
      <c r="F254" s="32">
        <v>-0.004</v>
      </c>
      <c r="G254" s="29" t="str">
        <f t="shared" si="56"/>
        <v xml:space="preserve"> </v>
      </c>
      <c r="H254" s="29"/>
      <c r="I254" s="30"/>
      <c r="J254" s="30" t="s">
        <v>209</v>
      </c>
      <c r="K254" s="108">
        <v>141</v>
      </c>
      <c r="L254" s="31" t="str">
        <f t="shared" si="71"/>
        <v>±</v>
      </c>
      <c r="M254" s="59">
        <v>6</v>
      </c>
      <c r="N254" s="115">
        <f t="shared" si="72"/>
        <v>147.05595002207465</v>
      </c>
      <c r="O254" s="31">
        <f t="shared" si="75"/>
        <v>141</v>
      </c>
      <c r="P254" s="108">
        <v>150</v>
      </c>
      <c r="Q254" s="31" t="s">
        <v>14</v>
      </c>
      <c r="R254" s="59">
        <v>10</v>
      </c>
      <c r="S254" s="113">
        <f t="shared" si="73"/>
        <v>151.17591335916487</v>
      </c>
      <c r="T254" s="31">
        <f t="shared" si="76"/>
        <v>141</v>
      </c>
      <c r="U254" s="115">
        <f t="shared" si="74"/>
        <v>155.41130281737716</v>
      </c>
      <c r="V254" s="31">
        <f t="shared" si="77"/>
        <v>141</v>
      </c>
      <c r="W254" s="160" t="s">
        <v>307</v>
      </c>
      <c r="AK254" s="80"/>
      <c r="AL254" s="30"/>
      <c r="AM254" s="30"/>
      <c r="AN254" s="238"/>
      <c r="AO254" s="237"/>
      <c r="AP254"/>
      <c r="AQ254"/>
      <c r="AR254"/>
    </row>
    <row r="255" spans="1:44" ht="15">
      <c r="A255" s="143" t="s">
        <v>175</v>
      </c>
      <c r="B255" s="28" t="s">
        <v>168</v>
      </c>
      <c r="C255" s="33" t="s">
        <v>190</v>
      </c>
      <c r="D255" s="28" t="s">
        <v>185</v>
      </c>
      <c r="E255" s="31">
        <v>1.9</v>
      </c>
      <c r="F255" s="32">
        <v>-0.02</v>
      </c>
      <c r="G255" s="29" t="str">
        <f t="shared" si="56"/>
        <v xml:space="preserve"> </v>
      </c>
      <c r="H255" s="29"/>
      <c r="I255" s="30"/>
      <c r="J255" s="30" t="s">
        <v>210</v>
      </c>
      <c r="K255" s="108">
        <v>1.25</v>
      </c>
      <c r="L255" s="31" t="str">
        <f t="shared" si="71"/>
        <v>±</v>
      </c>
      <c r="M255" s="59">
        <v>0.25</v>
      </c>
      <c r="N255" s="115">
        <f t="shared" si="72"/>
        <v>2.0037873942701587</v>
      </c>
      <c r="O255" s="31">
        <f t="shared" si="75"/>
        <v>1.25</v>
      </c>
      <c r="P255" s="108">
        <v>2.41</v>
      </c>
      <c r="Q255" s="31" t="s">
        <v>14</v>
      </c>
      <c r="R255" s="59">
        <v>0.565</v>
      </c>
      <c r="S255" s="113">
        <f t="shared" si="73"/>
        <v>2.300655753441085</v>
      </c>
      <c r="T255" s="31">
        <f t="shared" si="76"/>
        <v>1.25</v>
      </c>
      <c r="U255" s="115">
        <f t="shared" si="74"/>
        <v>2.641506235131021</v>
      </c>
      <c r="V255" s="31">
        <f t="shared" si="77"/>
        <v>1.25</v>
      </c>
      <c r="W255" s="160" t="s">
        <v>563</v>
      </c>
      <c r="AK255" s="80"/>
      <c r="AL255" s="30"/>
      <c r="AM255" s="30"/>
      <c r="AN255" s="238"/>
      <c r="AO255" s="237"/>
      <c r="AP255"/>
      <c r="AQ255"/>
      <c r="AR255"/>
    </row>
    <row r="256" spans="1:44" ht="15">
      <c r="A256" s="143" t="s">
        <v>175</v>
      </c>
      <c r="B256" s="28" t="s">
        <v>168</v>
      </c>
      <c r="C256" s="33" t="s">
        <v>189</v>
      </c>
      <c r="D256" s="28" t="s">
        <v>185</v>
      </c>
      <c r="E256" s="31">
        <v>104.6</v>
      </c>
      <c r="F256" s="32">
        <v>-0.008</v>
      </c>
      <c r="G256" s="29" t="str">
        <f t="shared" si="56"/>
        <v xml:space="preserve"> </v>
      </c>
      <c r="H256" s="29"/>
      <c r="I256" s="30"/>
      <c r="J256" s="30" t="s">
        <v>211</v>
      </c>
      <c r="K256" s="108">
        <v>102.5</v>
      </c>
      <c r="L256" s="31" t="str">
        <f t="shared" si="71"/>
        <v>±</v>
      </c>
      <c r="M256" s="59">
        <v>7.5</v>
      </c>
      <c r="N256" s="115">
        <f t="shared" si="72"/>
        <v>106.8491078234413</v>
      </c>
      <c r="O256" s="31">
        <f t="shared" si="75"/>
        <v>102.5</v>
      </c>
      <c r="P256" s="108">
        <v>99</v>
      </c>
      <c r="Q256" s="31" t="s">
        <v>14</v>
      </c>
      <c r="R256" s="59">
        <v>11</v>
      </c>
      <c r="S256" s="113">
        <f t="shared" si="73"/>
        <v>112.92000799167089</v>
      </c>
      <c r="T256" s="31">
        <f t="shared" si="76"/>
        <v>102.5</v>
      </c>
      <c r="U256" s="115">
        <f t="shared" si="74"/>
        <v>119.335841586144</v>
      </c>
      <c r="V256" s="31">
        <f t="shared" si="77"/>
        <v>102.5</v>
      </c>
      <c r="W256" s="160" t="s">
        <v>307</v>
      </c>
      <c r="AN256" s="238"/>
      <c r="AO256" s="237"/>
      <c r="AP256"/>
      <c r="AQ256"/>
      <c r="AR256"/>
    </row>
    <row r="257" spans="1:44" ht="15">
      <c r="A257" s="143" t="s">
        <v>175</v>
      </c>
      <c r="B257" s="28" t="s">
        <v>168</v>
      </c>
      <c r="C257" s="33" t="s">
        <v>351</v>
      </c>
      <c r="D257" s="28" t="s">
        <v>188</v>
      </c>
      <c r="E257" s="31">
        <v>4.2</v>
      </c>
      <c r="F257" s="32">
        <v>-0.089</v>
      </c>
      <c r="G257" s="29" t="str">
        <f t="shared" si="56"/>
        <v xml:space="preserve"> </v>
      </c>
      <c r="H257" s="29"/>
      <c r="I257" s="30"/>
      <c r="J257" s="30" t="s">
        <v>212</v>
      </c>
      <c r="K257" s="108">
        <v>13.35</v>
      </c>
      <c r="L257" s="31" t="str">
        <f t="shared" si="71"/>
        <v>±</v>
      </c>
      <c r="M257" s="59">
        <v>11.65</v>
      </c>
      <c r="N257" s="115">
        <f t="shared" si="72"/>
        <v>5.321518359618438</v>
      </c>
      <c r="O257" s="31">
        <f t="shared" si="75"/>
        <v>13.35</v>
      </c>
      <c r="P257" s="108">
        <v>7.7</v>
      </c>
      <c r="Q257" s="31" t="s">
        <v>14</v>
      </c>
      <c r="R257" s="59">
        <v>7.7</v>
      </c>
      <c r="S257" s="113">
        <f t="shared" si="73"/>
        <v>9.840916907758075</v>
      </c>
      <c r="T257" s="31">
        <f t="shared" si="76"/>
        <v>13.35</v>
      </c>
      <c r="U257" s="115">
        <f t="shared" si="74"/>
        <v>18.198498819487796</v>
      </c>
      <c r="V257" s="31">
        <f t="shared" si="77"/>
        <v>13.35</v>
      </c>
      <c r="W257" s="160" t="s">
        <v>563</v>
      </c>
      <c r="AN257" s="238"/>
      <c r="AO257" s="237"/>
      <c r="AP257"/>
      <c r="AQ257"/>
      <c r="AR257"/>
    </row>
    <row r="258" spans="1:44" ht="15">
      <c r="A258" s="143" t="s">
        <v>175</v>
      </c>
      <c r="B258" s="28" t="s">
        <v>168</v>
      </c>
      <c r="C258" s="33" t="s">
        <v>187</v>
      </c>
      <c r="D258" s="28" t="s">
        <v>185</v>
      </c>
      <c r="E258" s="31">
        <v>0.9</v>
      </c>
      <c r="F258" s="32">
        <v>-0.026</v>
      </c>
      <c r="G258" s="29" t="str">
        <f t="shared" si="56"/>
        <v xml:space="preserve"> </v>
      </c>
      <c r="H258" s="29"/>
      <c r="I258" s="30"/>
      <c r="J258" s="30" t="s">
        <v>213</v>
      </c>
      <c r="K258" s="108">
        <v>1.9</v>
      </c>
      <c r="L258" s="31" t="str">
        <f t="shared" si="71"/>
        <v>±</v>
      </c>
      <c r="M258" s="59">
        <v>0.4</v>
      </c>
      <c r="N258" s="115">
        <f t="shared" si="72"/>
        <v>0.9644283325377206</v>
      </c>
      <c r="O258" s="31">
        <f t="shared" si="75"/>
        <v>1.9</v>
      </c>
      <c r="P258" s="108">
        <v>2.35</v>
      </c>
      <c r="Q258" s="31" t="s">
        <v>14</v>
      </c>
      <c r="R258" s="59">
        <v>1.55</v>
      </c>
      <c r="S258" s="113">
        <f t="shared" si="73"/>
        <v>1.1541704750889508</v>
      </c>
      <c r="T258" s="31">
        <f t="shared" si="76"/>
        <v>1.9</v>
      </c>
      <c r="U258" s="115">
        <f t="shared" si="74"/>
        <v>1.3812425875770844</v>
      </c>
      <c r="V258" s="31">
        <f t="shared" si="77"/>
        <v>1.9</v>
      </c>
      <c r="W258" s="160" t="s">
        <v>564</v>
      </c>
      <c r="AN258" s="238"/>
      <c r="AO258" s="237"/>
      <c r="AP258"/>
      <c r="AQ258"/>
      <c r="AR258"/>
    </row>
    <row r="259" spans="1:44" ht="15">
      <c r="A259" s="143" t="s">
        <v>175</v>
      </c>
      <c r="B259" s="28" t="s">
        <v>168</v>
      </c>
      <c r="C259" s="33" t="s">
        <v>186</v>
      </c>
      <c r="D259" s="28" t="s">
        <v>185</v>
      </c>
      <c r="E259" s="31">
        <v>2.7</v>
      </c>
      <c r="F259" s="32">
        <v>-0.04</v>
      </c>
      <c r="G259" s="29" t="str">
        <f t="shared" si="56"/>
        <v xml:space="preserve"> </v>
      </c>
      <c r="H259" s="29"/>
      <c r="I259" s="30"/>
      <c r="J259" s="30" t="s">
        <v>214</v>
      </c>
      <c r="K259" s="108">
        <v>4.75</v>
      </c>
      <c r="L259" s="31" t="str">
        <f t="shared" si="71"/>
        <v>±</v>
      </c>
      <c r="M259" s="59">
        <v>1.75</v>
      </c>
      <c r="N259" s="115">
        <f t="shared" si="72"/>
        <v>3.003031187777613</v>
      </c>
      <c r="O259" s="31">
        <f t="shared" si="75"/>
        <v>4.75</v>
      </c>
      <c r="P259" s="108">
        <v>2.88</v>
      </c>
      <c r="Q259" s="31" t="s">
        <v>14</v>
      </c>
      <c r="R259" s="59">
        <v>0.67</v>
      </c>
      <c r="S259" s="113">
        <f t="shared" si="73"/>
        <v>3.9587660993828893</v>
      </c>
      <c r="T259" s="31">
        <f t="shared" si="76"/>
        <v>4.75</v>
      </c>
      <c r="U259" s="115">
        <f t="shared" si="74"/>
        <v>5.218670086880157</v>
      </c>
      <c r="V259" s="31">
        <f t="shared" si="77"/>
        <v>4.75</v>
      </c>
      <c r="W259" s="160" t="s">
        <v>561</v>
      </c>
      <c r="AN259" s="238"/>
      <c r="AO259" s="237"/>
      <c r="AP259"/>
      <c r="AQ259"/>
      <c r="AR259"/>
    </row>
    <row r="260" spans="1:44" ht="25.5">
      <c r="A260" s="143" t="s">
        <v>175</v>
      </c>
      <c r="B260" s="28" t="s">
        <v>145</v>
      </c>
      <c r="C260" s="33" t="s">
        <v>352</v>
      </c>
      <c r="D260" s="28" t="s">
        <v>184</v>
      </c>
      <c r="E260" s="31">
        <v>2.6</v>
      </c>
      <c r="F260" s="32">
        <v>-0.38</v>
      </c>
      <c r="G260" s="29" t="str">
        <f t="shared" si="56"/>
        <v xml:space="preserve"> </v>
      </c>
      <c r="H260" s="29"/>
      <c r="I260" s="30"/>
      <c r="J260" s="30" t="s">
        <v>206</v>
      </c>
      <c r="K260" s="108">
        <v>4.8</v>
      </c>
      <c r="L260" s="31" t="str">
        <f t="shared" si="71"/>
        <v>±</v>
      </c>
      <c r="M260" s="59">
        <v>0.3</v>
      </c>
      <c r="N260" s="115">
        <f t="shared" si="72"/>
        <v>7.142267186429452</v>
      </c>
      <c r="O260" s="31">
        <f t="shared" si="75"/>
        <v>4.8</v>
      </c>
      <c r="P260" s="108">
        <v>87.6</v>
      </c>
      <c r="Q260" s="31" t="s">
        <v>14</v>
      </c>
      <c r="R260" s="59">
        <v>8.3</v>
      </c>
      <c r="S260" s="113">
        <f t="shared" si="73"/>
        <v>98.59073237736736</v>
      </c>
      <c r="T260" s="31">
        <f t="shared" si="76"/>
        <v>4.8</v>
      </c>
      <c r="U260" s="115">
        <f t="shared" si="74"/>
        <v>1360.9309560939205</v>
      </c>
      <c r="V260" s="31">
        <f t="shared" si="77"/>
        <v>4.8</v>
      </c>
      <c r="W260" s="160">
        <v>83</v>
      </c>
      <c r="AN260" s="238"/>
      <c r="AO260" s="237"/>
      <c r="AP260"/>
      <c r="AQ260"/>
      <c r="AR260"/>
    </row>
    <row r="261" spans="1:44" ht="51">
      <c r="A261" s="146" t="s">
        <v>175</v>
      </c>
      <c r="B261" s="98" t="s">
        <v>145</v>
      </c>
      <c r="C261" s="154" t="s">
        <v>183</v>
      </c>
      <c r="D261" s="100" t="s">
        <v>180</v>
      </c>
      <c r="E261" s="101" t="s">
        <v>182</v>
      </c>
      <c r="F261" s="158" t="s">
        <v>181</v>
      </c>
      <c r="G261" s="97" t="str">
        <f t="shared" si="56"/>
        <v xml:space="preserve"> </v>
      </c>
      <c r="H261" s="99"/>
      <c r="I261" s="58"/>
      <c r="J261" s="102" t="s">
        <v>179</v>
      </c>
      <c r="K261" s="110"/>
      <c r="L261" s="103"/>
      <c r="M261" s="104"/>
      <c r="N261" s="116"/>
      <c r="O261" s="103"/>
      <c r="P261" s="110"/>
      <c r="Q261" s="103"/>
      <c r="R261" s="104"/>
      <c r="S261" s="116"/>
      <c r="T261" s="103"/>
      <c r="U261" s="116"/>
      <c r="V261" s="103"/>
      <c r="W261" s="163" t="s">
        <v>642</v>
      </c>
      <c r="AC261" s="52"/>
      <c r="AN261" s="236"/>
      <c r="AO261" s="237"/>
      <c r="AP261"/>
      <c r="AQ261"/>
      <c r="AR261"/>
    </row>
    <row r="262" spans="1:44" ht="15">
      <c r="A262" s="143" t="s">
        <v>175</v>
      </c>
      <c r="B262" s="28" t="s">
        <v>145</v>
      </c>
      <c r="C262" s="33" t="s">
        <v>178</v>
      </c>
      <c r="D262" s="28">
        <v>1</v>
      </c>
      <c r="E262" s="31">
        <v>0.0239</v>
      </c>
      <c r="F262" s="32" t="s">
        <v>174</v>
      </c>
      <c r="G262" s="29" t="str">
        <f t="shared" si="56"/>
        <v xml:space="preserve"> </v>
      </c>
      <c r="H262" s="29"/>
      <c r="I262" s="30"/>
      <c r="J262" s="73">
        <v>2.89</v>
      </c>
      <c r="K262" s="108"/>
      <c r="L262" s="31"/>
      <c r="M262" s="59"/>
      <c r="N262" s="113"/>
      <c r="O262" s="31"/>
      <c r="P262" s="108"/>
      <c r="Q262" s="31"/>
      <c r="R262" s="59"/>
      <c r="S262" s="113"/>
      <c r="T262" s="31"/>
      <c r="U262" s="113"/>
      <c r="V262" s="31"/>
      <c r="W262" s="160" t="s">
        <v>565</v>
      </c>
      <c r="AC262" s="33"/>
      <c r="AN262" s="238"/>
      <c r="AO262" s="237"/>
      <c r="AP262"/>
      <c r="AQ262"/>
      <c r="AR262"/>
    </row>
    <row r="263" spans="1:44" ht="15">
      <c r="A263" s="143" t="s">
        <v>175</v>
      </c>
      <c r="B263" s="28" t="s">
        <v>145</v>
      </c>
      <c r="C263" s="33" t="s">
        <v>177</v>
      </c>
      <c r="D263" s="28">
        <v>70</v>
      </c>
      <c r="E263" s="31">
        <v>0.033</v>
      </c>
      <c r="F263" s="32">
        <v>1.365</v>
      </c>
      <c r="G263" s="29" t="str">
        <f t="shared" si="56"/>
        <v xml:space="preserve"> </v>
      </c>
      <c r="H263" s="29"/>
      <c r="I263" s="30"/>
      <c r="J263" s="30">
        <v>0.838</v>
      </c>
      <c r="K263" s="108"/>
      <c r="L263" s="31"/>
      <c r="M263" s="59"/>
      <c r="N263" s="113"/>
      <c r="O263" s="31"/>
      <c r="P263" s="108"/>
      <c r="Q263" s="31"/>
      <c r="R263" s="59"/>
      <c r="S263" s="113"/>
      <c r="T263" s="31"/>
      <c r="U263" s="113"/>
      <c r="V263" s="31"/>
      <c r="W263" s="160">
        <v>85</v>
      </c>
      <c r="AC263" s="33"/>
      <c r="AN263" s="238"/>
      <c r="AO263" s="237"/>
      <c r="AP263"/>
      <c r="AQ263"/>
      <c r="AR263"/>
    </row>
    <row r="264" spans="1:44" ht="15">
      <c r="A264" s="143" t="s">
        <v>175</v>
      </c>
      <c r="B264" s="28" t="s">
        <v>145</v>
      </c>
      <c r="C264" s="33" t="s">
        <v>176</v>
      </c>
      <c r="D264" s="28">
        <v>20</v>
      </c>
      <c r="E264" s="31">
        <v>0.35</v>
      </c>
      <c r="F264" s="32" t="s">
        <v>174</v>
      </c>
      <c r="G264" s="29" t="str">
        <f t="shared" si="56"/>
        <v xml:space="preserve"> </v>
      </c>
      <c r="H264" s="29"/>
      <c r="I264" s="30"/>
      <c r="J264" s="73">
        <v>8.29</v>
      </c>
      <c r="K264" s="108"/>
      <c r="L264" s="31"/>
      <c r="M264" s="59"/>
      <c r="N264" s="113"/>
      <c r="O264" s="31"/>
      <c r="P264" s="108"/>
      <c r="Q264" s="31"/>
      <c r="R264" s="59"/>
      <c r="S264" s="113"/>
      <c r="T264" s="31"/>
      <c r="U264" s="113"/>
      <c r="V264" s="31"/>
      <c r="W264" s="160" t="s">
        <v>566</v>
      </c>
      <c r="AC264" s="33"/>
      <c r="AN264" s="238"/>
      <c r="AO264" s="237"/>
      <c r="AP264"/>
      <c r="AQ264"/>
      <c r="AR264"/>
    </row>
    <row r="265" spans="1:44" ht="15">
      <c r="A265" s="143" t="s">
        <v>175</v>
      </c>
      <c r="B265" s="28" t="s">
        <v>145</v>
      </c>
      <c r="C265" s="33" t="s">
        <v>175</v>
      </c>
      <c r="D265" s="28">
        <v>70</v>
      </c>
      <c r="E265" s="31">
        <v>0.0223</v>
      </c>
      <c r="F265" s="32" t="s">
        <v>174</v>
      </c>
      <c r="G265" s="29" t="str">
        <f t="shared" si="56"/>
        <v xml:space="preserve"> </v>
      </c>
      <c r="H265" s="29"/>
      <c r="I265" s="30"/>
      <c r="J265" s="30">
        <v>1.33</v>
      </c>
      <c r="K265" s="108"/>
      <c r="L265" s="31"/>
      <c r="M265" s="59"/>
      <c r="N265" s="113"/>
      <c r="O265" s="31"/>
      <c r="P265" s="108"/>
      <c r="Q265" s="31"/>
      <c r="R265" s="59"/>
      <c r="S265" s="113"/>
      <c r="T265" s="31"/>
      <c r="U265" s="113"/>
      <c r="V265" s="31"/>
      <c r="W265" s="160">
        <v>85</v>
      </c>
      <c r="AC265" s="33"/>
      <c r="AN265" s="238"/>
      <c r="AO265" s="237"/>
      <c r="AP265"/>
      <c r="AQ265"/>
      <c r="AR265"/>
    </row>
    <row r="266" spans="7:44" ht="15">
      <c r="G266" s="29" t="str">
        <f t="shared" si="56"/>
        <v xml:space="preserve"> </v>
      </c>
      <c r="W266" s="160"/>
      <c r="AN266" s="238"/>
      <c r="AO266" s="251"/>
      <c r="AP266"/>
      <c r="AQ266"/>
      <c r="AR266"/>
    </row>
    <row r="267" spans="1:44" s="88" customFormat="1" ht="15">
      <c r="A267" s="210" t="s">
        <v>466</v>
      </c>
      <c r="B267" s="182"/>
      <c r="C267" s="183"/>
      <c r="D267" s="182"/>
      <c r="E267" s="184"/>
      <c r="F267" s="185"/>
      <c r="G267" s="186"/>
      <c r="H267" s="186"/>
      <c r="I267" s="187"/>
      <c r="J267" s="187"/>
      <c r="K267" s="188"/>
      <c r="L267" s="184"/>
      <c r="M267" s="189"/>
      <c r="N267" s="190"/>
      <c r="O267" s="184"/>
      <c r="P267" s="188"/>
      <c r="Q267" s="184"/>
      <c r="R267" s="189"/>
      <c r="S267" s="190"/>
      <c r="T267" s="184"/>
      <c r="U267" s="190"/>
      <c r="V267" s="184"/>
      <c r="W267" s="191"/>
      <c r="X267" s="252"/>
      <c r="Y267" s="252"/>
      <c r="Z267" s="252"/>
      <c r="AA267" s="252"/>
      <c r="AB267" s="55"/>
      <c r="AC267" s="192"/>
      <c r="AD267" s="127"/>
      <c r="AE267" s="192"/>
      <c r="AF267" s="127"/>
      <c r="AG267" s="127"/>
      <c r="AH267" s="127"/>
      <c r="AI267" s="127"/>
      <c r="AJ267" s="193"/>
      <c r="AK267" s="126"/>
      <c r="AL267" s="127"/>
      <c r="AM267" s="127"/>
      <c r="AN267" s="253"/>
      <c r="AO267" s="254"/>
      <c r="AP267" s="128"/>
      <c r="AQ267" s="128"/>
      <c r="AR267" s="128"/>
    </row>
    <row r="268" spans="1:44" s="62" customFormat="1" ht="15">
      <c r="A268" s="194">
        <v>1</v>
      </c>
      <c r="B268" s="195" t="s">
        <v>467</v>
      </c>
      <c r="C268" s="196"/>
      <c r="D268" s="197"/>
      <c r="E268" s="198"/>
      <c r="F268" s="199"/>
      <c r="G268" s="200"/>
      <c r="H268" s="200"/>
      <c r="I268" s="201"/>
      <c r="J268" s="201"/>
      <c r="K268" s="202"/>
      <c r="L268" s="198"/>
      <c r="M268" s="203"/>
      <c r="N268" s="204"/>
      <c r="O268" s="198"/>
      <c r="P268" s="202"/>
      <c r="Q268" s="198"/>
      <c r="R268" s="203"/>
      <c r="S268" s="204"/>
      <c r="T268" s="198"/>
      <c r="U268" s="204"/>
      <c r="V268" s="198"/>
      <c r="W268" s="205"/>
      <c r="X268" s="255"/>
      <c r="Y268" s="255"/>
      <c r="Z268" s="255"/>
      <c r="AA268" s="255"/>
      <c r="AB268" s="256"/>
      <c r="AC268" s="206"/>
      <c r="AD268" s="207"/>
      <c r="AE268" s="206"/>
      <c r="AF268" s="207"/>
      <c r="AG268" s="207"/>
      <c r="AH268" s="207"/>
      <c r="AI268" s="207"/>
      <c r="AJ268" s="208"/>
      <c r="AK268" s="209"/>
      <c r="AL268" s="207"/>
      <c r="AM268" s="207"/>
      <c r="AN268" s="257"/>
      <c r="AO268" s="258"/>
      <c r="AP268" s="165"/>
      <c r="AQ268" s="165"/>
      <c r="AR268" s="165"/>
    </row>
    <row r="269" spans="1:44" ht="15">
      <c r="A269" s="37"/>
      <c r="C269" s="33"/>
      <c r="K269" s="85"/>
      <c r="N269" s="40"/>
      <c r="P269" s="85"/>
      <c r="S269" s="40"/>
      <c r="U269" s="40"/>
      <c r="W269" s="220"/>
      <c r="AN269" s="236"/>
      <c r="AO269" s="259"/>
      <c r="AP269" s="94"/>
      <c r="AQ269"/>
      <c r="AR269"/>
    </row>
    <row r="270" spans="1:44" ht="15">
      <c r="A270" s="36" t="s">
        <v>308</v>
      </c>
      <c r="B270" s="96"/>
      <c r="C270" s="33"/>
      <c r="K270" s="85"/>
      <c r="N270" s="40"/>
      <c r="P270" s="85"/>
      <c r="S270" s="40"/>
      <c r="U270" s="40"/>
      <c r="W270" s="220"/>
      <c r="AB270" s="31"/>
      <c r="AD270" s="31"/>
      <c r="AN270" s="236"/>
      <c r="AO270" s="259"/>
      <c r="AP270" s="94"/>
      <c r="AQ270"/>
      <c r="AR270"/>
    </row>
    <row r="271" spans="1:44" ht="15">
      <c r="A271" s="221">
        <v>1</v>
      </c>
      <c r="B271" s="222" t="s">
        <v>567</v>
      </c>
      <c r="C271" s="223"/>
      <c r="K271" s="85"/>
      <c r="N271" s="40"/>
      <c r="P271" s="85"/>
      <c r="S271" s="40"/>
      <c r="U271" s="40"/>
      <c r="W271" s="220"/>
      <c r="AB271" s="31"/>
      <c r="AD271" s="31"/>
      <c r="AN271" s="236"/>
      <c r="AO271" s="259"/>
      <c r="AP271" s="94"/>
      <c r="AQ271"/>
      <c r="AR271"/>
    </row>
    <row r="272" spans="1:44" ht="15">
      <c r="A272" s="221">
        <v>2</v>
      </c>
      <c r="B272" s="222" t="s">
        <v>568</v>
      </c>
      <c r="C272" s="223"/>
      <c r="K272" s="85"/>
      <c r="N272" s="40"/>
      <c r="P272" s="85"/>
      <c r="S272" s="40"/>
      <c r="U272" s="40"/>
      <c r="W272" s="220"/>
      <c r="AB272" s="31"/>
      <c r="AD272" s="31"/>
      <c r="AN272" s="236"/>
      <c r="AO272" s="259"/>
      <c r="AP272" s="94"/>
      <c r="AQ272"/>
      <c r="AR272"/>
    </row>
    <row r="273" spans="1:44" ht="15">
      <c r="A273" s="221">
        <v>3</v>
      </c>
      <c r="B273" s="222" t="s">
        <v>569</v>
      </c>
      <c r="K273" s="85"/>
      <c r="N273" s="40"/>
      <c r="P273" s="85"/>
      <c r="S273" s="40"/>
      <c r="U273" s="40"/>
      <c r="W273" s="220"/>
      <c r="AD273" s="28"/>
      <c r="AN273" s="236"/>
      <c r="AO273" s="259"/>
      <c r="AP273" s="94"/>
      <c r="AQ273"/>
      <c r="AR273"/>
    </row>
    <row r="274" spans="1:44" ht="15">
      <c r="A274" s="221">
        <v>4</v>
      </c>
      <c r="B274" s="222" t="s">
        <v>570</v>
      </c>
      <c r="K274" s="85"/>
      <c r="N274" s="40"/>
      <c r="P274" s="85"/>
      <c r="S274" s="40"/>
      <c r="U274" s="40"/>
      <c r="W274" s="220"/>
      <c r="AD274" s="28"/>
      <c r="AN274" s="236"/>
      <c r="AO274" s="259"/>
      <c r="AP274" s="94"/>
      <c r="AQ274"/>
      <c r="AR274"/>
    </row>
    <row r="275" spans="1:44" ht="15">
      <c r="A275" s="221">
        <v>5</v>
      </c>
      <c r="B275" s="222" t="s">
        <v>571</v>
      </c>
      <c r="K275" s="85"/>
      <c r="N275" s="40"/>
      <c r="P275" s="85"/>
      <c r="S275" s="40"/>
      <c r="U275" s="40"/>
      <c r="W275" s="220"/>
      <c r="AD275" s="28"/>
      <c r="AN275" s="236"/>
      <c r="AO275" s="259"/>
      <c r="AP275" s="94"/>
      <c r="AQ275"/>
      <c r="AR275"/>
    </row>
    <row r="276" spans="1:44" ht="15">
      <c r="A276" s="221">
        <v>6</v>
      </c>
      <c r="B276" s="222" t="s">
        <v>572</v>
      </c>
      <c r="K276" s="85"/>
      <c r="N276" s="40"/>
      <c r="P276" s="85"/>
      <c r="S276" s="40"/>
      <c r="U276" s="40"/>
      <c r="W276" s="220"/>
      <c r="AD276" s="28"/>
      <c r="AN276" s="236"/>
      <c r="AO276" s="259"/>
      <c r="AP276" s="94"/>
      <c r="AQ276"/>
      <c r="AR276"/>
    </row>
    <row r="277" spans="1:44" ht="15">
      <c r="A277" s="221">
        <v>7</v>
      </c>
      <c r="B277" s="222" t="s">
        <v>573</v>
      </c>
      <c r="K277" s="85"/>
      <c r="N277" s="40"/>
      <c r="P277" s="85"/>
      <c r="S277" s="40"/>
      <c r="U277" s="40"/>
      <c r="W277" s="220"/>
      <c r="AD277" s="28"/>
      <c r="AN277" s="236"/>
      <c r="AO277" s="259"/>
      <c r="AP277" s="94"/>
      <c r="AQ277"/>
      <c r="AR277"/>
    </row>
    <row r="278" spans="1:44" ht="15">
      <c r="A278" s="221">
        <v>8</v>
      </c>
      <c r="B278" s="222" t="s">
        <v>574</v>
      </c>
      <c r="K278" s="85"/>
      <c r="N278" s="40"/>
      <c r="P278" s="85"/>
      <c r="S278" s="40"/>
      <c r="U278" s="40"/>
      <c r="W278" s="220"/>
      <c r="AD278" s="28"/>
      <c r="AN278" s="236"/>
      <c r="AO278" s="259"/>
      <c r="AP278" s="94"/>
      <c r="AQ278"/>
      <c r="AR278"/>
    </row>
    <row r="279" spans="1:44" ht="15">
      <c r="A279" s="221">
        <v>9</v>
      </c>
      <c r="B279" s="222" t="s">
        <v>575</v>
      </c>
      <c r="K279" s="85"/>
      <c r="N279" s="40"/>
      <c r="P279" s="85"/>
      <c r="S279" s="40"/>
      <c r="U279" s="40"/>
      <c r="W279" s="220"/>
      <c r="AD279" s="28"/>
      <c r="AN279" s="236"/>
      <c r="AO279" s="259"/>
      <c r="AP279" s="94"/>
      <c r="AQ279"/>
      <c r="AR279"/>
    </row>
    <row r="280" spans="1:44" ht="15">
      <c r="A280" s="221">
        <v>10</v>
      </c>
      <c r="B280" s="222" t="s">
        <v>576</v>
      </c>
      <c r="K280" s="85"/>
      <c r="N280" s="40"/>
      <c r="P280" s="85"/>
      <c r="S280" s="40"/>
      <c r="U280" s="40"/>
      <c r="W280" s="220"/>
      <c r="AD280" s="28"/>
      <c r="AN280" s="236"/>
      <c r="AO280" s="259"/>
      <c r="AP280" s="94"/>
      <c r="AQ280"/>
      <c r="AR280"/>
    </row>
    <row r="281" spans="1:44" ht="15">
      <c r="A281" s="221">
        <v>11</v>
      </c>
      <c r="B281" s="222" t="s">
        <v>577</v>
      </c>
      <c r="K281" s="85"/>
      <c r="N281" s="40"/>
      <c r="P281" s="85"/>
      <c r="S281" s="40"/>
      <c r="U281" s="40"/>
      <c r="W281" s="220"/>
      <c r="AD281" s="28"/>
      <c r="AN281" s="236"/>
      <c r="AO281" s="259"/>
      <c r="AP281" s="94"/>
      <c r="AQ281"/>
      <c r="AR281"/>
    </row>
    <row r="282" spans="1:44" ht="15">
      <c r="A282" s="221">
        <v>12</v>
      </c>
      <c r="B282" s="222" t="s">
        <v>578</v>
      </c>
      <c r="K282" s="85"/>
      <c r="N282" s="40"/>
      <c r="P282" s="85"/>
      <c r="S282" s="40"/>
      <c r="U282" s="40"/>
      <c r="W282" s="220"/>
      <c r="AD282" s="28"/>
      <c r="AN282" s="236"/>
      <c r="AO282" s="259"/>
      <c r="AP282" s="94"/>
      <c r="AQ282"/>
      <c r="AR282"/>
    </row>
    <row r="283" spans="1:44" ht="15">
      <c r="A283" s="221">
        <v>13</v>
      </c>
      <c r="B283" s="222" t="s">
        <v>579</v>
      </c>
      <c r="K283" s="85"/>
      <c r="N283" s="40"/>
      <c r="P283" s="85"/>
      <c r="S283" s="40"/>
      <c r="U283" s="40"/>
      <c r="W283" s="220"/>
      <c r="AB283" s="31"/>
      <c r="AD283" s="31"/>
      <c r="AN283" s="236"/>
      <c r="AO283" s="259"/>
      <c r="AP283" s="94"/>
      <c r="AQ283"/>
      <c r="AR283"/>
    </row>
    <row r="284" spans="1:44" ht="15">
      <c r="A284" s="221">
        <v>14</v>
      </c>
      <c r="B284" s="222" t="s">
        <v>580</v>
      </c>
      <c r="K284" s="85"/>
      <c r="N284" s="40"/>
      <c r="P284" s="85"/>
      <c r="S284" s="40"/>
      <c r="U284" s="40"/>
      <c r="W284" s="220"/>
      <c r="AB284" s="31"/>
      <c r="AD284" s="31"/>
      <c r="AN284" s="236"/>
      <c r="AO284" s="259"/>
      <c r="AP284" s="94"/>
      <c r="AQ284"/>
      <c r="AR284"/>
    </row>
    <row r="285" spans="1:44" ht="15">
      <c r="A285" s="221">
        <v>15</v>
      </c>
      <c r="B285" s="222" t="s">
        <v>581</v>
      </c>
      <c r="K285" s="85"/>
      <c r="N285" s="40"/>
      <c r="P285" s="85"/>
      <c r="S285" s="40"/>
      <c r="U285" s="40"/>
      <c r="W285" s="220"/>
      <c r="AB285" s="31"/>
      <c r="AD285" s="31"/>
      <c r="AN285" s="236"/>
      <c r="AO285" s="259"/>
      <c r="AP285" s="94"/>
      <c r="AQ285"/>
      <c r="AR285"/>
    </row>
    <row r="286" spans="1:44" ht="15">
      <c r="A286" s="221">
        <v>16</v>
      </c>
      <c r="B286" s="222" t="s">
        <v>582</v>
      </c>
      <c r="K286" s="85"/>
      <c r="N286" s="40"/>
      <c r="P286" s="85"/>
      <c r="S286" s="40"/>
      <c r="U286" s="40"/>
      <c r="W286" s="220"/>
      <c r="AB286" s="31"/>
      <c r="AD286" s="31"/>
      <c r="AN286" s="236"/>
      <c r="AO286" s="259"/>
      <c r="AP286" s="94"/>
      <c r="AQ286"/>
      <c r="AR286"/>
    </row>
    <row r="287" spans="1:44" ht="15">
      <c r="A287" s="221">
        <v>17</v>
      </c>
      <c r="B287" s="222" t="s">
        <v>583</v>
      </c>
      <c r="K287" s="85"/>
      <c r="N287" s="40"/>
      <c r="P287" s="85"/>
      <c r="S287" s="40"/>
      <c r="U287" s="40"/>
      <c r="W287" s="220"/>
      <c r="AB287" s="31"/>
      <c r="AD287" s="31"/>
      <c r="AN287" s="236"/>
      <c r="AO287" s="259"/>
      <c r="AP287" s="94"/>
      <c r="AQ287"/>
      <c r="AR287"/>
    </row>
    <row r="288" spans="1:44" ht="15">
      <c r="A288" s="221">
        <v>18</v>
      </c>
      <c r="B288" s="222" t="s">
        <v>584</v>
      </c>
      <c r="K288" s="85"/>
      <c r="N288" s="40"/>
      <c r="P288" s="85"/>
      <c r="S288" s="40"/>
      <c r="U288" s="40"/>
      <c r="W288" s="220"/>
      <c r="AB288" s="31"/>
      <c r="AD288" s="31"/>
      <c r="AN288" s="236"/>
      <c r="AO288" s="259"/>
      <c r="AP288" s="94"/>
      <c r="AQ288"/>
      <c r="AR288"/>
    </row>
    <row r="289" spans="1:44" ht="15">
      <c r="A289" s="221">
        <v>19</v>
      </c>
      <c r="B289" s="222" t="s">
        <v>585</v>
      </c>
      <c r="K289" s="85"/>
      <c r="N289" s="40"/>
      <c r="P289" s="85"/>
      <c r="S289" s="40"/>
      <c r="U289" s="40"/>
      <c r="W289" s="220"/>
      <c r="AB289" s="31"/>
      <c r="AD289" s="31"/>
      <c r="AN289" s="236"/>
      <c r="AO289" s="259"/>
      <c r="AP289" s="94"/>
      <c r="AQ289"/>
      <c r="AR289"/>
    </row>
    <row r="290" spans="1:44" ht="15">
      <c r="A290" s="221">
        <v>20</v>
      </c>
      <c r="B290" s="222" t="s">
        <v>586</v>
      </c>
      <c r="K290" s="85"/>
      <c r="N290" s="40"/>
      <c r="P290" s="85"/>
      <c r="S290" s="40"/>
      <c r="U290" s="40"/>
      <c r="W290" s="220"/>
      <c r="AB290" s="31"/>
      <c r="AD290" s="31"/>
      <c r="AN290" s="236"/>
      <c r="AO290" s="259"/>
      <c r="AP290" s="94"/>
      <c r="AQ290"/>
      <c r="AR290"/>
    </row>
    <row r="291" spans="1:44" ht="15">
      <c r="A291" s="221">
        <v>21</v>
      </c>
      <c r="B291" s="222" t="s">
        <v>587</v>
      </c>
      <c r="K291" s="85"/>
      <c r="N291" s="40"/>
      <c r="P291" s="85"/>
      <c r="S291" s="40"/>
      <c r="U291" s="40"/>
      <c r="W291" s="220"/>
      <c r="AB291" s="31"/>
      <c r="AD291" s="31"/>
      <c r="AN291" s="236"/>
      <c r="AO291" s="259"/>
      <c r="AP291" s="94"/>
      <c r="AQ291"/>
      <c r="AR291"/>
    </row>
    <row r="292" spans="1:44" ht="15">
      <c r="A292" s="221">
        <v>22</v>
      </c>
      <c r="B292" s="222" t="s">
        <v>588</v>
      </c>
      <c r="K292" s="85"/>
      <c r="N292" s="40"/>
      <c r="P292" s="85"/>
      <c r="S292" s="40"/>
      <c r="U292" s="40"/>
      <c r="W292" s="220"/>
      <c r="AB292" s="31"/>
      <c r="AD292" s="31"/>
      <c r="AN292" s="236"/>
      <c r="AO292" s="259"/>
      <c r="AP292" s="94"/>
      <c r="AQ292"/>
      <c r="AR292"/>
    </row>
    <row r="293" spans="1:44" ht="15">
      <c r="A293" s="221">
        <v>23</v>
      </c>
      <c r="B293" s="222" t="s">
        <v>589</v>
      </c>
      <c r="K293" s="85"/>
      <c r="N293" s="40"/>
      <c r="P293" s="85"/>
      <c r="S293" s="40"/>
      <c r="U293" s="40"/>
      <c r="W293" s="220"/>
      <c r="AB293" s="31"/>
      <c r="AD293" s="31"/>
      <c r="AN293" s="236"/>
      <c r="AO293" s="259"/>
      <c r="AP293" s="94"/>
      <c r="AQ293"/>
      <c r="AR293"/>
    </row>
    <row r="294" spans="1:44" ht="15">
      <c r="A294" s="221">
        <v>24</v>
      </c>
      <c r="B294" s="222" t="s">
        <v>590</v>
      </c>
      <c r="K294" s="85"/>
      <c r="N294" s="40"/>
      <c r="P294" s="85"/>
      <c r="S294" s="40"/>
      <c r="U294" s="40"/>
      <c r="W294" s="220"/>
      <c r="AB294" s="31"/>
      <c r="AD294" s="31"/>
      <c r="AN294" s="236"/>
      <c r="AO294" s="259"/>
      <c r="AP294" s="94"/>
      <c r="AQ294"/>
      <c r="AR294"/>
    </row>
    <row r="295" spans="1:44" ht="15">
      <c r="A295" s="221">
        <v>25</v>
      </c>
      <c r="B295" s="222" t="s">
        <v>591</v>
      </c>
      <c r="K295" s="85"/>
      <c r="N295" s="40"/>
      <c r="P295" s="85"/>
      <c r="S295" s="40"/>
      <c r="U295" s="40"/>
      <c r="W295" s="220"/>
      <c r="AB295" s="31"/>
      <c r="AD295" s="31"/>
      <c r="AN295" s="236"/>
      <c r="AO295" s="259"/>
      <c r="AP295" s="94"/>
      <c r="AQ295"/>
      <c r="AR295"/>
    </row>
    <row r="296" spans="1:44" ht="15">
      <c r="A296" s="221">
        <v>26</v>
      </c>
      <c r="B296" s="222" t="s">
        <v>592</v>
      </c>
      <c r="K296" s="85"/>
      <c r="N296" s="40"/>
      <c r="P296" s="85"/>
      <c r="S296" s="40"/>
      <c r="U296" s="40"/>
      <c r="W296" s="220"/>
      <c r="AB296" s="31"/>
      <c r="AD296" s="31"/>
      <c r="AN296" s="236"/>
      <c r="AO296" s="259"/>
      <c r="AP296" s="94"/>
      <c r="AQ296"/>
      <c r="AR296"/>
    </row>
    <row r="297" spans="1:44" ht="15">
      <c r="A297" s="221">
        <v>27</v>
      </c>
      <c r="B297" s="222" t="s">
        <v>593</v>
      </c>
      <c r="K297" s="85"/>
      <c r="N297" s="40"/>
      <c r="P297" s="85"/>
      <c r="S297" s="40"/>
      <c r="U297" s="40"/>
      <c r="W297" s="220"/>
      <c r="AB297" s="31"/>
      <c r="AD297" s="31"/>
      <c r="AN297" s="236"/>
      <c r="AO297" s="259"/>
      <c r="AP297" s="94"/>
      <c r="AQ297"/>
      <c r="AR297"/>
    </row>
    <row r="298" spans="1:44" ht="15">
      <c r="A298" s="221">
        <v>28</v>
      </c>
      <c r="B298" s="222" t="s">
        <v>594</v>
      </c>
      <c r="K298" s="85"/>
      <c r="N298" s="40"/>
      <c r="P298" s="85"/>
      <c r="S298" s="40"/>
      <c r="U298" s="40"/>
      <c r="W298" s="220"/>
      <c r="AB298" s="31"/>
      <c r="AD298" s="31"/>
      <c r="AN298" s="236"/>
      <c r="AO298" s="259"/>
      <c r="AP298" s="94"/>
      <c r="AQ298"/>
      <c r="AR298"/>
    </row>
    <row r="299" spans="1:44" ht="15">
      <c r="A299" s="221">
        <v>29</v>
      </c>
      <c r="B299" s="222" t="s">
        <v>595</v>
      </c>
      <c r="K299" s="85"/>
      <c r="N299" s="40"/>
      <c r="P299" s="85"/>
      <c r="S299" s="40"/>
      <c r="U299" s="40"/>
      <c r="W299" s="220"/>
      <c r="AB299" s="31"/>
      <c r="AD299" s="31"/>
      <c r="AN299" s="236"/>
      <c r="AO299" s="259"/>
      <c r="AP299" s="94"/>
      <c r="AQ299"/>
      <c r="AR299"/>
    </row>
    <row r="300" spans="1:44" ht="15">
      <c r="A300" s="221">
        <v>30</v>
      </c>
      <c r="B300" s="222" t="s">
        <v>310</v>
      </c>
      <c r="K300" s="85"/>
      <c r="N300" s="40"/>
      <c r="P300" s="85"/>
      <c r="S300" s="40"/>
      <c r="U300" s="40"/>
      <c r="W300" s="220"/>
      <c r="AN300" s="236"/>
      <c r="AO300" s="259"/>
      <c r="AP300" s="94"/>
      <c r="AQ300"/>
      <c r="AR300"/>
    </row>
    <row r="301" spans="1:44" ht="15">
      <c r="A301" s="221">
        <v>31</v>
      </c>
      <c r="B301" s="222" t="s">
        <v>596</v>
      </c>
      <c r="K301" s="85"/>
      <c r="N301" s="40"/>
      <c r="P301" s="85"/>
      <c r="S301" s="40"/>
      <c r="U301" s="40"/>
      <c r="W301" s="220"/>
      <c r="AN301" s="236"/>
      <c r="AO301" s="259"/>
      <c r="AP301" s="94"/>
      <c r="AQ301"/>
      <c r="AR301"/>
    </row>
    <row r="302" spans="1:44" ht="15">
      <c r="A302" s="221">
        <v>32</v>
      </c>
      <c r="B302" s="222" t="s">
        <v>597</v>
      </c>
      <c r="K302" s="85"/>
      <c r="N302" s="40"/>
      <c r="P302" s="85"/>
      <c r="S302" s="40"/>
      <c r="U302" s="40"/>
      <c r="W302" s="220"/>
      <c r="AN302" s="236"/>
      <c r="AO302" s="259"/>
      <c r="AP302" s="94"/>
      <c r="AQ302"/>
      <c r="AR302"/>
    </row>
    <row r="303" spans="1:44" ht="15">
      <c r="A303" s="221">
        <v>33</v>
      </c>
      <c r="B303" s="222" t="s">
        <v>598</v>
      </c>
      <c r="K303" s="85"/>
      <c r="N303" s="40"/>
      <c r="P303" s="85"/>
      <c r="S303" s="40"/>
      <c r="U303" s="40"/>
      <c r="W303" s="220"/>
      <c r="AN303" s="236"/>
      <c r="AO303" s="259"/>
      <c r="AP303" s="94"/>
      <c r="AQ303"/>
      <c r="AR303"/>
    </row>
    <row r="304" spans="1:44" ht="15">
      <c r="A304" s="221">
        <v>34</v>
      </c>
      <c r="B304" s="222" t="s">
        <v>599</v>
      </c>
      <c r="K304" s="85"/>
      <c r="N304" s="40"/>
      <c r="P304" s="85"/>
      <c r="S304" s="40"/>
      <c r="U304" s="40"/>
      <c r="W304" s="220"/>
      <c r="AN304" s="236"/>
      <c r="AO304" s="259"/>
      <c r="AP304" s="94"/>
      <c r="AQ304"/>
      <c r="AR304"/>
    </row>
    <row r="305" spans="1:44" ht="15">
      <c r="A305" s="221">
        <v>35</v>
      </c>
      <c r="B305" s="222" t="s">
        <v>600</v>
      </c>
      <c r="K305" s="85"/>
      <c r="N305" s="40"/>
      <c r="P305" s="85"/>
      <c r="S305" s="40"/>
      <c r="U305" s="40"/>
      <c r="W305" s="220"/>
      <c r="AN305" s="236"/>
      <c r="AO305" s="259"/>
      <c r="AP305" s="94"/>
      <c r="AQ305"/>
      <c r="AR305"/>
    </row>
    <row r="306" spans="1:44" ht="15">
      <c r="A306" s="221">
        <v>36</v>
      </c>
      <c r="B306" s="222" t="s">
        <v>601</v>
      </c>
      <c r="K306" s="85"/>
      <c r="N306" s="40"/>
      <c r="P306" s="85"/>
      <c r="S306" s="40"/>
      <c r="U306" s="40"/>
      <c r="W306" s="220"/>
      <c r="AN306" s="236"/>
      <c r="AO306" s="259"/>
      <c r="AP306" s="94"/>
      <c r="AQ306"/>
      <c r="AR306"/>
    </row>
    <row r="307" spans="1:44" ht="15">
      <c r="A307" s="221">
        <v>37</v>
      </c>
      <c r="B307" s="222" t="s">
        <v>602</v>
      </c>
      <c r="K307" s="85"/>
      <c r="N307" s="40"/>
      <c r="P307" s="85"/>
      <c r="S307" s="40"/>
      <c r="U307" s="40"/>
      <c r="W307" s="220"/>
      <c r="AN307" s="236"/>
      <c r="AO307" s="259"/>
      <c r="AP307" s="94"/>
      <c r="AQ307"/>
      <c r="AR307"/>
    </row>
    <row r="308" spans="1:44" ht="15">
      <c r="A308" s="221">
        <v>38</v>
      </c>
      <c r="B308" s="222" t="s">
        <v>603</v>
      </c>
      <c r="K308" s="85"/>
      <c r="N308" s="40"/>
      <c r="P308" s="85"/>
      <c r="S308" s="40"/>
      <c r="U308" s="40"/>
      <c r="W308" s="220"/>
      <c r="AN308" s="236"/>
      <c r="AO308" s="259"/>
      <c r="AP308" s="94"/>
      <c r="AQ308"/>
      <c r="AR308"/>
    </row>
    <row r="309" spans="1:44" ht="15">
      <c r="A309" s="221">
        <v>39</v>
      </c>
      <c r="B309" s="222" t="s">
        <v>604</v>
      </c>
      <c r="K309" s="85"/>
      <c r="N309" s="40"/>
      <c r="P309" s="85"/>
      <c r="S309" s="40"/>
      <c r="U309" s="40"/>
      <c r="W309" s="220"/>
      <c r="AN309" s="236"/>
      <c r="AO309" s="259"/>
      <c r="AP309" s="94"/>
      <c r="AQ309"/>
      <c r="AR309"/>
    </row>
    <row r="310" spans="1:44" ht="15">
      <c r="A310" s="221">
        <v>40</v>
      </c>
      <c r="B310" s="222" t="s">
        <v>311</v>
      </c>
      <c r="K310" s="85"/>
      <c r="N310" s="40"/>
      <c r="P310" s="85"/>
      <c r="S310" s="40"/>
      <c r="U310" s="40"/>
      <c r="W310" s="220"/>
      <c r="AN310" s="236"/>
      <c r="AO310" s="259"/>
      <c r="AP310" s="94"/>
      <c r="AQ310"/>
      <c r="AR310"/>
    </row>
    <row r="311" spans="1:44" ht="15">
      <c r="A311" s="221">
        <v>41</v>
      </c>
      <c r="B311" s="222" t="s">
        <v>312</v>
      </c>
      <c r="K311" s="85"/>
      <c r="N311" s="40"/>
      <c r="P311" s="85"/>
      <c r="S311" s="40"/>
      <c r="U311" s="40"/>
      <c r="W311" s="220"/>
      <c r="AN311" s="236"/>
      <c r="AO311" s="259"/>
      <c r="AP311" s="94"/>
      <c r="AQ311"/>
      <c r="AR311"/>
    </row>
    <row r="312" spans="1:44" ht="15">
      <c r="A312" s="221">
        <v>42</v>
      </c>
      <c r="B312" s="222" t="s">
        <v>605</v>
      </c>
      <c r="K312" s="85"/>
      <c r="N312" s="40"/>
      <c r="P312" s="85"/>
      <c r="S312" s="40"/>
      <c r="U312" s="40"/>
      <c r="W312" s="220"/>
      <c r="AN312" s="236"/>
      <c r="AO312" s="259"/>
      <c r="AP312" s="94"/>
      <c r="AQ312"/>
      <c r="AR312"/>
    </row>
    <row r="313" spans="1:44" ht="15">
      <c r="A313" s="221">
        <v>43</v>
      </c>
      <c r="B313" s="222" t="s">
        <v>606</v>
      </c>
      <c r="K313" s="85"/>
      <c r="N313" s="40"/>
      <c r="P313" s="85"/>
      <c r="S313" s="40"/>
      <c r="U313" s="40"/>
      <c r="W313" s="220"/>
      <c r="AN313" s="236"/>
      <c r="AO313" s="259"/>
      <c r="AP313" s="94"/>
      <c r="AQ313"/>
      <c r="AR313"/>
    </row>
    <row r="314" spans="1:44" ht="15">
      <c r="A314" s="221">
        <v>44</v>
      </c>
      <c r="B314" s="222" t="s">
        <v>607</v>
      </c>
      <c r="K314" s="85"/>
      <c r="N314" s="40"/>
      <c r="P314" s="85"/>
      <c r="S314" s="40"/>
      <c r="U314" s="40"/>
      <c r="W314" s="220"/>
      <c r="AN314" s="236"/>
      <c r="AO314" s="259"/>
      <c r="AP314" s="94"/>
      <c r="AQ314"/>
      <c r="AR314"/>
    </row>
    <row r="315" spans="1:44" ht="15">
      <c r="A315" s="221">
        <v>45</v>
      </c>
      <c r="B315" s="222" t="s">
        <v>608</v>
      </c>
      <c r="K315" s="85"/>
      <c r="N315" s="40"/>
      <c r="P315" s="85"/>
      <c r="S315" s="40"/>
      <c r="U315" s="40"/>
      <c r="W315" s="220"/>
      <c r="AN315" s="236"/>
      <c r="AO315" s="259"/>
      <c r="AP315" s="94"/>
      <c r="AQ315"/>
      <c r="AR315"/>
    </row>
    <row r="316" spans="1:44" ht="15">
      <c r="A316" s="221">
        <v>46</v>
      </c>
      <c r="B316" s="222" t="s">
        <v>609</v>
      </c>
      <c r="K316" s="85"/>
      <c r="N316" s="40"/>
      <c r="P316" s="85"/>
      <c r="S316" s="40"/>
      <c r="U316" s="40"/>
      <c r="W316" s="220"/>
      <c r="AN316" s="236"/>
      <c r="AO316" s="259"/>
      <c r="AP316" s="94"/>
      <c r="AQ316"/>
      <c r="AR316"/>
    </row>
    <row r="317" spans="1:44" ht="15">
      <c r="A317" s="221">
        <v>47</v>
      </c>
      <c r="B317" s="222" t="s">
        <v>610</v>
      </c>
      <c r="K317" s="85"/>
      <c r="N317" s="40"/>
      <c r="P317" s="85"/>
      <c r="S317" s="40"/>
      <c r="U317" s="40"/>
      <c r="W317" s="220"/>
      <c r="AN317" s="236"/>
      <c r="AO317" s="259"/>
      <c r="AP317" s="94"/>
      <c r="AQ317"/>
      <c r="AR317"/>
    </row>
    <row r="318" spans="1:44" ht="15">
      <c r="A318" s="221">
        <v>48</v>
      </c>
      <c r="B318" s="222" t="s">
        <v>313</v>
      </c>
      <c r="K318" s="85"/>
      <c r="N318" s="40"/>
      <c r="P318" s="85"/>
      <c r="S318" s="40"/>
      <c r="U318" s="40"/>
      <c r="W318" s="220"/>
      <c r="AN318" s="236"/>
      <c r="AO318" s="259"/>
      <c r="AP318" s="94"/>
      <c r="AQ318"/>
      <c r="AR318"/>
    </row>
    <row r="319" spans="1:44" ht="15">
      <c r="A319" s="221">
        <v>49</v>
      </c>
      <c r="B319" s="222" t="s">
        <v>611</v>
      </c>
      <c r="K319" s="85"/>
      <c r="N319" s="40"/>
      <c r="P319" s="85"/>
      <c r="S319" s="40"/>
      <c r="U319" s="40"/>
      <c r="W319" s="220"/>
      <c r="AN319" s="236"/>
      <c r="AO319" s="259"/>
      <c r="AP319" s="94"/>
      <c r="AQ319"/>
      <c r="AR319"/>
    </row>
    <row r="320" spans="1:44" ht="15">
      <c r="A320" s="221">
        <v>50</v>
      </c>
      <c r="B320" s="222" t="s">
        <v>612</v>
      </c>
      <c r="K320" s="85"/>
      <c r="N320" s="40"/>
      <c r="P320" s="85"/>
      <c r="S320" s="40"/>
      <c r="U320" s="40"/>
      <c r="W320" s="220"/>
      <c r="AN320" s="236"/>
      <c r="AO320" s="259"/>
      <c r="AP320" s="94"/>
      <c r="AQ320"/>
      <c r="AR320"/>
    </row>
    <row r="321" spans="1:44" ht="15">
      <c r="A321" s="221">
        <v>51</v>
      </c>
      <c r="B321" s="222" t="s">
        <v>613</v>
      </c>
      <c r="K321" s="85"/>
      <c r="N321" s="40"/>
      <c r="P321" s="85"/>
      <c r="S321" s="40"/>
      <c r="U321" s="40"/>
      <c r="W321" s="220"/>
      <c r="AN321" s="236"/>
      <c r="AO321" s="259"/>
      <c r="AP321" s="94"/>
      <c r="AQ321"/>
      <c r="AR321"/>
    </row>
    <row r="322" spans="1:44" ht="15">
      <c r="A322" s="221">
        <v>52</v>
      </c>
      <c r="B322" s="222" t="s">
        <v>315</v>
      </c>
      <c r="K322" s="85"/>
      <c r="N322" s="40"/>
      <c r="P322" s="85"/>
      <c r="S322" s="40"/>
      <c r="U322" s="40"/>
      <c r="W322" s="220"/>
      <c r="AN322" s="236"/>
      <c r="AO322" s="259"/>
      <c r="AP322" s="94"/>
      <c r="AQ322"/>
      <c r="AR322"/>
    </row>
    <row r="323" spans="1:44" ht="15">
      <c r="A323" s="221">
        <v>53</v>
      </c>
      <c r="B323" s="222" t="s">
        <v>614</v>
      </c>
      <c r="K323" s="85"/>
      <c r="N323" s="40"/>
      <c r="P323" s="85"/>
      <c r="S323" s="40"/>
      <c r="U323" s="40"/>
      <c r="W323" s="220"/>
      <c r="AN323" s="236"/>
      <c r="AO323" s="259"/>
      <c r="AP323" s="94"/>
      <c r="AQ323"/>
      <c r="AR323"/>
    </row>
    <row r="324" spans="1:44" ht="15">
      <c r="A324" s="221">
        <v>54</v>
      </c>
      <c r="B324" s="222" t="s">
        <v>615</v>
      </c>
      <c r="K324" s="85"/>
      <c r="N324" s="40"/>
      <c r="P324" s="85"/>
      <c r="S324" s="40"/>
      <c r="U324" s="40"/>
      <c r="W324" s="220"/>
      <c r="AN324" s="236"/>
      <c r="AO324" s="259"/>
      <c r="AP324" s="94"/>
      <c r="AQ324"/>
      <c r="AR324"/>
    </row>
    <row r="325" spans="1:44" ht="15">
      <c r="A325" s="221">
        <v>55</v>
      </c>
      <c r="B325" s="222" t="s">
        <v>616</v>
      </c>
      <c r="K325" s="85"/>
      <c r="N325" s="40"/>
      <c r="P325" s="85"/>
      <c r="S325" s="40"/>
      <c r="U325" s="40"/>
      <c r="W325" s="220"/>
      <c r="AN325" s="236"/>
      <c r="AO325" s="259"/>
      <c r="AP325" s="94"/>
      <c r="AQ325"/>
      <c r="AR325"/>
    </row>
    <row r="326" spans="1:44" ht="15">
      <c r="A326" s="221">
        <v>56</v>
      </c>
      <c r="B326" s="222" t="s">
        <v>617</v>
      </c>
      <c r="K326" s="85"/>
      <c r="N326" s="40"/>
      <c r="P326" s="85"/>
      <c r="S326" s="40"/>
      <c r="U326" s="40"/>
      <c r="W326" s="220"/>
      <c r="AN326" s="236"/>
      <c r="AO326" s="259"/>
      <c r="AP326" s="94"/>
      <c r="AQ326"/>
      <c r="AR326"/>
    </row>
    <row r="327" spans="1:44" ht="15">
      <c r="A327" s="221">
        <v>57</v>
      </c>
      <c r="B327" s="222" t="s">
        <v>618</v>
      </c>
      <c r="K327" s="85"/>
      <c r="N327" s="40"/>
      <c r="P327" s="85"/>
      <c r="S327" s="40"/>
      <c r="U327" s="40"/>
      <c r="W327" s="220"/>
      <c r="AN327" s="236"/>
      <c r="AO327" s="259"/>
      <c r="AP327" s="94"/>
      <c r="AQ327"/>
      <c r="AR327"/>
    </row>
    <row r="328" spans="1:44" ht="15">
      <c r="A328" s="221">
        <v>58</v>
      </c>
      <c r="B328" s="222" t="s">
        <v>619</v>
      </c>
      <c r="K328" s="85"/>
      <c r="N328" s="40"/>
      <c r="P328" s="85"/>
      <c r="S328" s="40"/>
      <c r="U328" s="40"/>
      <c r="W328" s="220"/>
      <c r="AN328" s="236"/>
      <c r="AO328" s="259"/>
      <c r="AP328" s="94"/>
      <c r="AQ328"/>
      <c r="AR328"/>
    </row>
    <row r="329" spans="1:44" ht="15">
      <c r="A329" s="221">
        <v>59</v>
      </c>
      <c r="B329" s="222" t="s">
        <v>620</v>
      </c>
      <c r="K329" s="85"/>
      <c r="N329" s="40"/>
      <c r="P329" s="85"/>
      <c r="S329" s="40"/>
      <c r="U329" s="40"/>
      <c r="W329" s="220"/>
      <c r="AN329" s="236"/>
      <c r="AO329" s="259"/>
      <c r="AP329" s="94"/>
      <c r="AQ329"/>
      <c r="AR329"/>
    </row>
    <row r="330" spans="1:44" ht="15">
      <c r="A330" s="221">
        <v>60</v>
      </c>
      <c r="B330" s="222" t="s">
        <v>621</v>
      </c>
      <c r="K330" s="85"/>
      <c r="N330" s="40"/>
      <c r="P330" s="85"/>
      <c r="S330" s="40"/>
      <c r="U330" s="40"/>
      <c r="W330" s="220"/>
      <c r="AN330" s="236"/>
      <c r="AO330" s="259"/>
      <c r="AP330" s="94"/>
      <c r="AQ330"/>
      <c r="AR330"/>
    </row>
    <row r="331" spans="1:44" ht="15">
      <c r="A331" s="221">
        <v>61</v>
      </c>
      <c r="B331" s="222" t="s">
        <v>622</v>
      </c>
      <c r="K331" s="85"/>
      <c r="N331" s="40"/>
      <c r="P331" s="85"/>
      <c r="S331" s="40"/>
      <c r="U331" s="40"/>
      <c r="W331" s="220"/>
      <c r="AN331" s="236"/>
      <c r="AO331" s="259"/>
      <c r="AP331" s="94"/>
      <c r="AQ331"/>
      <c r="AR331"/>
    </row>
    <row r="332" spans="1:44" ht="15">
      <c r="A332" s="221">
        <v>62</v>
      </c>
      <c r="B332" s="222" t="s">
        <v>623</v>
      </c>
      <c r="K332" s="85"/>
      <c r="N332" s="40"/>
      <c r="P332" s="85"/>
      <c r="S332" s="40"/>
      <c r="U332" s="40"/>
      <c r="W332" s="220"/>
      <c r="AN332" s="236"/>
      <c r="AO332" s="259"/>
      <c r="AP332" s="94"/>
      <c r="AQ332"/>
      <c r="AR332"/>
    </row>
    <row r="333" spans="1:44" ht="15">
      <c r="A333" s="221">
        <v>63</v>
      </c>
      <c r="B333" s="222" t="s">
        <v>624</v>
      </c>
      <c r="K333" s="85"/>
      <c r="N333" s="40"/>
      <c r="P333" s="85"/>
      <c r="S333" s="40"/>
      <c r="U333" s="40"/>
      <c r="W333" s="220"/>
      <c r="AN333" s="236"/>
      <c r="AO333" s="259"/>
      <c r="AP333" s="94"/>
      <c r="AQ333"/>
      <c r="AR333"/>
    </row>
    <row r="334" spans="1:44" ht="15">
      <c r="A334" s="221">
        <v>64</v>
      </c>
      <c r="B334" s="222" t="s">
        <v>625</v>
      </c>
      <c r="K334" s="85"/>
      <c r="N334" s="40"/>
      <c r="P334" s="85"/>
      <c r="S334" s="40"/>
      <c r="U334" s="40"/>
      <c r="W334" s="220"/>
      <c r="AN334" s="236"/>
      <c r="AO334" s="259"/>
      <c r="AP334" s="94"/>
      <c r="AQ334"/>
      <c r="AR334"/>
    </row>
    <row r="335" spans="1:44" ht="15">
      <c r="A335" s="221">
        <v>65</v>
      </c>
      <c r="B335" s="222" t="s">
        <v>309</v>
      </c>
      <c r="K335" s="85"/>
      <c r="N335" s="40"/>
      <c r="P335" s="85"/>
      <c r="S335" s="40"/>
      <c r="U335" s="40"/>
      <c r="W335" s="220"/>
      <c r="AN335" s="236"/>
      <c r="AO335" s="259"/>
      <c r="AP335" s="94"/>
      <c r="AQ335"/>
      <c r="AR335"/>
    </row>
    <row r="336" spans="1:44" ht="15">
      <c r="A336" s="221">
        <v>66</v>
      </c>
      <c r="B336" s="222" t="s">
        <v>626</v>
      </c>
      <c r="K336" s="85"/>
      <c r="N336" s="40"/>
      <c r="P336" s="85"/>
      <c r="S336" s="40"/>
      <c r="U336" s="40"/>
      <c r="W336" s="220"/>
      <c r="AN336" s="236"/>
      <c r="AO336" s="259"/>
      <c r="AP336" s="94"/>
      <c r="AQ336"/>
      <c r="AR336"/>
    </row>
    <row r="337" spans="1:44" ht="15">
      <c r="A337" s="221">
        <v>67</v>
      </c>
      <c r="B337" s="222" t="s">
        <v>627</v>
      </c>
      <c r="K337" s="85"/>
      <c r="N337" s="40"/>
      <c r="P337" s="85"/>
      <c r="S337" s="40"/>
      <c r="U337" s="40"/>
      <c r="W337" s="220"/>
      <c r="AN337" s="236"/>
      <c r="AO337" s="259"/>
      <c r="AP337" s="94"/>
      <c r="AQ337"/>
      <c r="AR337"/>
    </row>
    <row r="338" spans="1:44" ht="15">
      <c r="A338" s="221">
        <v>68</v>
      </c>
      <c r="B338" s="222" t="s">
        <v>628</v>
      </c>
      <c r="K338" s="85"/>
      <c r="N338" s="40"/>
      <c r="P338" s="85"/>
      <c r="S338" s="40"/>
      <c r="U338" s="40"/>
      <c r="W338" s="220"/>
      <c r="AN338" s="236"/>
      <c r="AO338" s="259"/>
      <c r="AP338" s="94"/>
      <c r="AQ338"/>
      <c r="AR338"/>
    </row>
    <row r="339" spans="1:44" ht="15">
      <c r="A339" s="221">
        <v>69</v>
      </c>
      <c r="B339" s="222" t="s">
        <v>629</v>
      </c>
      <c r="K339" s="85"/>
      <c r="N339" s="40"/>
      <c r="P339" s="85"/>
      <c r="S339" s="40"/>
      <c r="U339" s="40"/>
      <c r="W339" s="220"/>
      <c r="AN339" s="236"/>
      <c r="AO339" s="259"/>
      <c r="AP339" s="94"/>
      <c r="AQ339"/>
      <c r="AR339"/>
    </row>
    <row r="340" spans="1:44" ht="15">
      <c r="A340" s="221">
        <v>70</v>
      </c>
      <c r="B340" s="222" t="s">
        <v>630</v>
      </c>
      <c r="K340" s="85"/>
      <c r="N340" s="40"/>
      <c r="P340" s="85"/>
      <c r="S340" s="40"/>
      <c r="U340" s="40"/>
      <c r="W340" s="220"/>
      <c r="AN340" s="236"/>
      <c r="AO340" s="259"/>
      <c r="AP340" s="94"/>
      <c r="AQ340"/>
      <c r="AR340"/>
    </row>
    <row r="341" spans="1:44" ht="15">
      <c r="A341" s="221">
        <v>71</v>
      </c>
      <c r="B341" s="222" t="s">
        <v>631</v>
      </c>
      <c r="K341" s="85"/>
      <c r="N341" s="40"/>
      <c r="P341" s="85"/>
      <c r="S341" s="40"/>
      <c r="U341" s="40"/>
      <c r="W341" s="220"/>
      <c r="AN341" s="236"/>
      <c r="AO341" s="259"/>
      <c r="AP341" s="94"/>
      <c r="AQ341"/>
      <c r="AR341"/>
    </row>
    <row r="342" spans="1:44" ht="15">
      <c r="A342" s="221">
        <v>72</v>
      </c>
      <c r="B342" s="222" t="s">
        <v>632</v>
      </c>
      <c r="K342" s="85"/>
      <c r="N342" s="40"/>
      <c r="P342" s="85"/>
      <c r="S342" s="40"/>
      <c r="U342" s="40"/>
      <c r="W342" s="220"/>
      <c r="AN342" s="236"/>
      <c r="AO342" s="259"/>
      <c r="AP342" s="94"/>
      <c r="AQ342"/>
      <c r="AR342"/>
    </row>
    <row r="343" spans="1:44" ht="15">
      <c r="A343" s="221">
        <v>73</v>
      </c>
      <c r="B343" s="222" t="s">
        <v>633</v>
      </c>
      <c r="K343" s="85"/>
      <c r="N343" s="40"/>
      <c r="P343" s="85"/>
      <c r="S343" s="40"/>
      <c r="U343" s="40"/>
      <c r="W343" s="220"/>
      <c r="AN343" s="236"/>
      <c r="AO343" s="259"/>
      <c r="AP343" s="94"/>
      <c r="AQ343"/>
      <c r="AR343"/>
    </row>
    <row r="344" spans="1:44" ht="15">
      <c r="A344" s="221">
        <v>74</v>
      </c>
      <c r="B344" s="222" t="s">
        <v>634</v>
      </c>
      <c r="K344" s="85"/>
      <c r="N344" s="40"/>
      <c r="P344" s="85"/>
      <c r="S344" s="40"/>
      <c r="U344" s="40"/>
      <c r="W344" s="220"/>
      <c r="AN344" s="236"/>
      <c r="AO344" s="259"/>
      <c r="AP344" s="94"/>
      <c r="AQ344"/>
      <c r="AR344"/>
    </row>
    <row r="345" spans="1:44" ht="15">
      <c r="A345" s="221">
        <v>75</v>
      </c>
      <c r="B345" s="222" t="s">
        <v>314</v>
      </c>
      <c r="K345" s="85"/>
      <c r="N345" s="40"/>
      <c r="P345" s="85"/>
      <c r="S345" s="40"/>
      <c r="U345" s="40"/>
      <c r="W345" s="220"/>
      <c r="AN345" s="236"/>
      <c r="AO345" s="259"/>
      <c r="AP345" s="94"/>
      <c r="AQ345"/>
      <c r="AR345"/>
    </row>
    <row r="346" spans="1:44" ht="15">
      <c r="A346" s="221">
        <v>76</v>
      </c>
      <c r="B346" s="222" t="s">
        <v>635</v>
      </c>
      <c r="K346" s="85"/>
      <c r="N346" s="40"/>
      <c r="P346" s="85"/>
      <c r="S346" s="40"/>
      <c r="U346" s="40"/>
      <c r="W346" s="220"/>
      <c r="AN346" s="236"/>
      <c r="AO346" s="259"/>
      <c r="AP346" s="94"/>
      <c r="AQ346"/>
      <c r="AR346"/>
    </row>
    <row r="347" spans="1:44" ht="15">
      <c r="A347" s="221">
        <v>77</v>
      </c>
      <c r="B347" s="222" t="s">
        <v>316</v>
      </c>
      <c r="K347" s="85"/>
      <c r="N347" s="40"/>
      <c r="P347" s="85"/>
      <c r="S347" s="40"/>
      <c r="U347" s="40"/>
      <c r="W347" s="220"/>
      <c r="AN347" s="236"/>
      <c r="AO347" s="259"/>
      <c r="AP347" s="94"/>
      <c r="AQ347"/>
      <c r="AR347"/>
    </row>
    <row r="348" spans="1:44" ht="15">
      <c r="A348" s="221">
        <v>78</v>
      </c>
      <c r="B348" s="222" t="s">
        <v>636</v>
      </c>
      <c r="K348" s="85"/>
      <c r="N348" s="40"/>
      <c r="P348" s="85"/>
      <c r="S348" s="40"/>
      <c r="U348" s="40"/>
      <c r="W348" s="220"/>
      <c r="AN348" s="236"/>
      <c r="AO348" s="259"/>
      <c r="AP348" s="94"/>
      <c r="AQ348"/>
      <c r="AR348"/>
    </row>
    <row r="349" spans="1:44" ht="15">
      <c r="A349" s="224">
        <v>79</v>
      </c>
      <c r="B349" s="222" t="s">
        <v>637</v>
      </c>
      <c r="K349" s="85"/>
      <c r="N349" s="40"/>
      <c r="P349" s="85"/>
      <c r="S349" s="40"/>
      <c r="U349" s="40"/>
      <c r="W349" s="220"/>
      <c r="AN349" s="236"/>
      <c r="AO349" s="259"/>
      <c r="AP349" s="95"/>
      <c r="AQ349"/>
      <c r="AR349"/>
    </row>
    <row r="350" spans="1:44" ht="15">
      <c r="A350" s="221">
        <v>80</v>
      </c>
      <c r="B350" s="222" t="s">
        <v>638</v>
      </c>
      <c r="K350" s="85"/>
      <c r="N350" s="40"/>
      <c r="P350" s="85"/>
      <c r="S350" s="40"/>
      <c r="U350" s="40"/>
      <c r="W350" s="220"/>
      <c r="AN350" s="236"/>
      <c r="AO350" s="259"/>
      <c r="AP350" s="94"/>
      <c r="AQ350"/>
      <c r="AR350"/>
    </row>
    <row r="351" spans="1:44" ht="15">
      <c r="A351" s="221">
        <v>81</v>
      </c>
      <c r="B351" s="222" t="s">
        <v>317</v>
      </c>
      <c r="K351" s="85"/>
      <c r="N351" s="40"/>
      <c r="P351" s="85"/>
      <c r="S351" s="40"/>
      <c r="U351" s="40"/>
      <c r="W351" s="220"/>
      <c r="AN351" s="236"/>
      <c r="AO351" s="259"/>
      <c r="AP351" s="94"/>
      <c r="AQ351"/>
      <c r="AR351"/>
    </row>
    <row r="352" spans="1:44" ht="15">
      <c r="A352" s="221">
        <v>82</v>
      </c>
      <c r="B352" s="222" t="s">
        <v>318</v>
      </c>
      <c r="K352" s="85"/>
      <c r="N352" s="40"/>
      <c r="P352" s="85"/>
      <c r="S352" s="40"/>
      <c r="U352" s="40"/>
      <c r="W352" s="220"/>
      <c r="AN352" s="236"/>
      <c r="AO352" s="259"/>
      <c r="AP352" s="94"/>
      <c r="AQ352"/>
      <c r="AR352"/>
    </row>
    <row r="353" spans="1:44" ht="15">
      <c r="A353" s="221">
        <v>83</v>
      </c>
      <c r="B353" s="222" t="s">
        <v>639</v>
      </c>
      <c r="K353" s="85"/>
      <c r="N353" s="40"/>
      <c r="P353" s="85"/>
      <c r="S353" s="40"/>
      <c r="U353" s="40"/>
      <c r="W353" s="220"/>
      <c r="AN353" s="236"/>
      <c r="AO353" s="259"/>
      <c r="AP353" s="94"/>
      <c r="AQ353"/>
      <c r="AR353"/>
    </row>
    <row r="354" spans="1:44" ht="15">
      <c r="A354" s="221">
        <v>84</v>
      </c>
      <c r="B354" s="222" t="s">
        <v>640</v>
      </c>
      <c r="K354" s="85"/>
      <c r="N354" s="40"/>
      <c r="P354" s="85"/>
      <c r="S354" s="40"/>
      <c r="U354" s="40"/>
      <c r="W354" s="220"/>
      <c r="AN354" s="236"/>
      <c r="AO354" s="259"/>
      <c r="AP354" s="94"/>
      <c r="AQ354"/>
      <c r="AR354"/>
    </row>
    <row r="355" spans="1:44" ht="15">
      <c r="A355" s="221">
        <v>85</v>
      </c>
      <c r="B355" s="222" t="s">
        <v>319</v>
      </c>
      <c r="K355" s="85"/>
      <c r="N355" s="40"/>
      <c r="P355" s="85"/>
      <c r="S355" s="40"/>
      <c r="U355" s="40"/>
      <c r="W355" s="220"/>
      <c r="AN355" s="236"/>
      <c r="AO355" s="259"/>
      <c r="AP355" s="94"/>
      <c r="AQ355"/>
      <c r="AR355"/>
    </row>
    <row r="356" spans="1:44" ht="15">
      <c r="A356" s="37">
        <v>86</v>
      </c>
      <c r="B356" s="42" t="s">
        <v>320</v>
      </c>
      <c r="K356" s="85"/>
      <c r="N356" s="40"/>
      <c r="P356" s="85"/>
      <c r="S356" s="40"/>
      <c r="U356" s="40"/>
      <c r="W356" s="225"/>
      <c r="AN356" s="259"/>
      <c r="AO356" s="251"/>
      <c r="AP356"/>
      <c r="AQ356"/>
      <c r="AR356"/>
    </row>
    <row r="357" spans="1:44" ht="15">
      <c r="A357" s="37">
        <v>87</v>
      </c>
      <c r="B357" s="42" t="s">
        <v>641</v>
      </c>
      <c r="K357" s="85"/>
      <c r="N357" s="40"/>
      <c r="P357" s="85"/>
      <c r="S357" s="40"/>
      <c r="U357" s="40"/>
      <c r="W357" s="226"/>
      <c r="AN357" s="238"/>
      <c r="AO357" s="251"/>
      <c r="AP357"/>
      <c r="AQ357"/>
      <c r="AR357"/>
    </row>
    <row r="358" spans="1:23" ht="15">
      <c r="A358" s="37"/>
      <c r="K358" s="85"/>
      <c r="N358" s="40"/>
      <c r="P358" s="85"/>
      <c r="S358" s="40"/>
      <c r="U358" s="40"/>
      <c r="W358" s="39"/>
    </row>
    <row r="359" spans="1:23" ht="15">
      <c r="A359" s="37"/>
      <c r="K359" s="85"/>
      <c r="N359" s="40"/>
      <c r="P359" s="85"/>
      <c r="S359" s="40"/>
      <c r="U359" s="40"/>
      <c r="W359" s="39"/>
    </row>
    <row r="360" spans="1:23" ht="15">
      <c r="A360" s="37"/>
      <c r="K360" s="85"/>
      <c r="N360" s="40"/>
      <c r="P360" s="85"/>
      <c r="S360" s="40"/>
      <c r="U360" s="40"/>
      <c r="W360" s="39"/>
    </row>
    <row r="361" spans="1:23" ht="15">
      <c r="A361" s="37"/>
      <c r="K361" s="85"/>
      <c r="N361" s="40"/>
      <c r="P361" s="85"/>
      <c r="S361" s="40"/>
      <c r="U361" s="40"/>
      <c r="W361" s="39"/>
    </row>
    <row r="362" spans="1:23" ht="15">
      <c r="A362" s="37"/>
      <c r="K362" s="85"/>
      <c r="N362" s="40"/>
      <c r="P362" s="85"/>
      <c r="S362" s="40"/>
      <c r="U362" s="40"/>
      <c r="W362" s="39"/>
    </row>
    <row r="363" spans="1:23" ht="15">
      <c r="A363" s="37"/>
      <c r="K363" s="85"/>
      <c r="N363" s="40"/>
      <c r="P363" s="85"/>
      <c r="S363" s="40"/>
      <c r="U363" s="40"/>
      <c r="W363" s="39"/>
    </row>
    <row r="364" spans="1:23" ht="15">
      <c r="A364" s="37"/>
      <c r="K364" s="85"/>
      <c r="N364" s="40"/>
      <c r="P364" s="85"/>
      <c r="S364" s="40"/>
      <c r="U364" s="40"/>
      <c r="W364" s="39"/>
    </row>
    <row r="365" spans="1:23" ht="15">
      <c r="A365" s="37"/>
      <c r="K365" s="85"/>
      <c r="N365" s="40"/>
      <c r="P365" s="85"/>
      <c r="S365" s="40"/>
      <c r="U365" s="40"/>
      <c r="W365" s="39"/>
    </row>
    <row r="366" spans="1:23" ht="15">
      <c r="A366" s="37"/>
      <c r="K366" s="85"/>
      <c r="N366" s="40"/>
      <c r="P366" s="85"/>
      <c r="S366" s="40"/>
      <c r="U366" s="40"/>
      <c r="W366" s="39"/>
    </row>
    <row r="367" spans="1:23" ht="15">
      <c r="A367" s="37"/>
      <c r="K367" s="85"/>
      <c r="N367" s="40"/>
      <c r="P367" s="85"/>
      <c r="S367" s="40"/>
      <c r="U367" s="40"/>
      <c r="W367" s="39"/>
    </row>
    <row r="368" spans="1:23" ht="15">
      <c r="A368" s="37"/>
      <c r="K368" s="85"/>
      <c r="N368" s="40"/>
      <c r="P368" s="85"/>
      <c r="S368" s="40"/>
      <c r="U368" s="40"/>
      <c r="W368" s="39"/>
    </row>
    <row r="369" spans="1:23" ht="15">
      <c r="A369" s="37"/>
      <c r="K369" s="85"/>
      <c r="N369" s="40"/>
      <c r="P369" s="85"/>
      <c r="S369" s="40"/>
      <c r="U369" s="40"/>
      <c r="W369" s="39"/>
    </row>
    <row r="370" spans="1:23" ht="15">
      <c r="A370" s="37"/>
      <c r="K370" s="85"/>
      <c r="N370" s="40"/>
      <c r="P370" s="85"/>
      <c r="S370" s="40"/>
      <c r="U370" s="40"/>
      <c r="W370" s="39"/>
    </row>
    <row r="371" spans="1:23" ht="15">
      <c r="A371" s="37"/>
      <c r="K371" s="85"/>
      <c r="N371" s="40"/>
      <c r="P371" s="85"/>
      <c r="S371" s="40"/>
      <c r="U371" s="40"/>
      <c r="W371" s="39"/>
    </row>
    <row r="372" spans="1:23" ht="15">
      <c r="A372" s="37"/>
      <c r="K372" s="85"/>
      <c r="N372" s="40"/>
      <c r="P372" s="85"/>
      <c r="S372" s="40"/>
      <c r="U372" s="40"/>
      <c r="W372" s="39"/>
    </row>
    <row r="373" spans="1:23" ht="15">
      <c r="A373" s="37"/>
      <c r="K373" s="85"/>
      <c r="N373" s="40"/>
      <c r="P373" s="85"/>
      <c r="S373" s="40"/>
      <c r="U373" s="40"/>
      <c r="W373" s="39"/>
    </row>
    <row r="374" spans="1:23" ht="15">
      <c r="A374" s="37"/>
      <c r="K374" s="85"/>
      <c r="N374" s="40"/>
      <c r="P374" s="85"/>
      <c r="S374" s="40"/>
      <c r="U374" s="40"/>
      <c r="W374" s="39"/>
    </row>
    <row r="375" spans="1:23" ht="15">
      <c r="A375" s="37"/>
      <c r="K375" s="85"/>
      <c r="N375" s="40"/>
      <c r="P375" s="85"/>
      <c r="S375" s="40"/>
      <c r="U375" s="40"/>
      <c r="W375" s="39"/>
    </row>
    <row r="376" spans="1:23" ht="15">
      <c r="A376" s="37"/>
      <c r="K376" s="85"/>
      <c r="N376" s="40"/>
      <c r="P376" s="85"/>
      <c r="S376" s="40"/>
      <c r="U376" s="40"/>
      <c r="W376" s="39"/>
    </row>
    <row r="377" spans="1:23" ht="15">
      <c r="A377" s="37"/>
      <c r="K377" s="85"/>
      <c r="N377" s="40"/>
      <c r="P377" s="85"/>
      <c r="S377" s="40"/>
      <c r="U377" s="40"/>
      <c r="W377" s="39"/>
    </row>
    <row r="378" spans="1:23" ht="15">
      <c r="A378" s="37"/>
      <c r="K378" s="85"/>
      <c r="N378" s="40"/>
      <c r="P378" s="85"/>
      <c r="S378" s="40"/>
      <c r="U378" s="40"/>
      <c r="W378" s="39"/>
    </row>
    <row r="379" spans="1:23" ht="15">
      <c r="A379" s="37"/>
      <c r="K379" s="85"/>
      <c r="N379" s="40"/>
      <c r="P379" s="85"/>
      <c r="S379" s="40"/>
      <c r="U379" s="40"/>
      <c r="W379" s="39"/>
    </row>
    <row r="380" spans="1:23" ht="15">
      <c r="A380" s="37"/>
      <c r="K380" s="85"/>
      <c r="N380" s="40"/>
      <c r="P380" s="85"/>
      <c r="S380" s="40"/>
      <c r="U380" s="40"/>
      <c r="W380" s="39"/>
    </row>
    <row r="381" spans="1:23" ht="15">
      <c r="A381" s="37"/>
      <c r="K381" s="85"/>
      <c r="N381" s="40"/>
      <c r="P381" s="85"/>
      <c r="S381" s="40"/>
      <c r="U381" s="40"/>
      <c r="W381" s="39"/>
    </row>
    <row r="382" spans="1:23" ht="15">
      <c r="A382" s="37"/>
      <c r="K382" s="85"/>
      <c r="N382" s="40"/>
      <c r="P382" s="85"/>
      <c r="S382" s="40"/>
      <c r="U382" s="40"/>
      <c r="W382" s="39"/>
    </row>
    <row r="383" spans="1:23" ht="15">
      <c r="A383" s="37"/>
      <c r="K383" s="85"/>
      <c r="N383" s="40"/>
      <c r="P383" s="85"/>
      <c r="S383" s="40"/>
      <c r="U383" s="40"/>
      <c r="W383" s="39"/>
    </row>
    <row r="384" spans="1:23" ht="15">
      <c r="A384" s="37"/>
      <c r="K384" s="85"/>
      <c r="N384" s="40"/>
      <c r="P384" s="85"/>
      <c r="S384" s="40"/>
      <c r="U384" s="40"/>
      <c r="W384" s="39"/>
    </row>
    <row r="385" spans="1:23" ht="15">
      <c r="A385" s="37"/>
      <c r="K385" s="85"/>
      <c r="N385" s="40"/>
      <c r="P385" s="85"/>
      <c r="S385" s="40"/>
      <c r="U385" s="40"/>
      <c r="W385" s="39"/>
    </row>
    <row r="386" spans="1:23" ht="15">
      <c r="A386" s="37"/>
      <c r="K386" s="85"/>
      <c r="N386" s="40"/>
      <c r="P386" s="85"/>
      <c r="S386" s="40"/>
      <c r="U386" s="40"/>
      <c r="W386" s="39"/>
    </row>
    <row r="387" spans="1:23" ht="15">
      <c r="A387" s="37"/>
      <c r="K387" s="85"/>
      <c r="N387" s="40"/>
      <c r="P387" s="85"/>
      <c r="S387" s="40"/>
      <c r="U387" s="40"/>
      <c r="W387" s="39"/>
    </row>
    <row r="388" spans="1:23" ht="15">
      <c r="A388" s="37"/>
      <c r="K388" s="85"/>
      <c r="N388" s="40"/>
      <c r="P388" s="85"/>
      <c r="S388" s="40"/>
      <c r="U388" s="40"/>
      <c r="W388" s="39"/>
    </row>
    <row r="389" spans="1:23" ht="15">
      <c r="A389" s="37"/>
      <c r="K389" s="85"/>
      <c r="N389" s="40"/>
      <c r="P389" s="85"/>
      <c r="S389" s="40"/>
      <c r="U389" s="40"/>
      <c r="W389" s="39"/>
    </row>
    <row r="390" spans="1:23" ht="15">
      <c r="A390" s="37"/>
      <c r="K390" s="85"/>
      <c r="N390" s="40"/>
      <c r="P390" s="85"/>
      <c r="S390" s="40"/>
      <c r="U390" s="40"/>
      <c r="W390" s="39"/>
    </row>
    <row r="391" spans="1:23" ht="15">
      <c r="A391" s="37"/>
      <c r="K391" s="85"/>
      <c r="N391" s="40"/>
      <c r="P391" s="85"/>
      <c r="S391" s="40"/>
      <c r="U391" s="40"/>
      <c r="W391" s="39"/>
    </row>
    <row r="392" spans="1:23" ht="15">
      <c r="A392" s="37"/>
      <c r="K392" s="85"/>
      <c r="N392" s="40"/>
      <c r="P392" s="85"/>
      <c r="S392" s="40"/>
      <c r="U392" s="40"/>
      <c r="W392" s="39"/>
    </row>
    <row r="393" spans="1:23" ht="15">
      <c r="A393" s="37"/>
      <c r="K393" s="85"/>
      <c r="N393" s="40"/>
      <c r="P393" s="85"/>
      <c r="S393" s="40"/>
      <c r="U393" s="40"/>
      <c r="W393" s="39"/>
    </row>
    <row r="394" spans="1:23" ht="15">
      <c r="A394" s="37"/>
      <c r="K394" s="85"/>
      <c r="N394" s="40"/>
      <c r="P394" s="85"/>
      <c r="S394" s="40"/>
      <c r="U394" s="40"/>
      <c r="W394" s="39"/>
    </row>
    <row r="395" spans="1:23" ht="15">
      <c r="A395" s="37"/>
      <c r="K395" s="85"/>
      <c r="N395" s="40"/>
      <c r="P395" s="85"/>
      <c r="S395" s="40"/>
      <c r="U395" s="40"/>
      <c r="W395" s="39"/>
    </row>
    <row r="396" spans="1:23" ht="15">
      <c r="A396" s="37"/>
      <c r="K396" s="85"/>
      <c r="N396" s="40"/>
      <c r="P396" s="85"/>
      <c r="S396" s="40"/>
      <c r="U396" s="40"/>
      <c r="W396" s="39"/>
    </row>
    <row r="397" spans="1:23" ht="15">
      <c r="A397" s="37"/>
      <c r="K397" s="85"/>
      <c r="N397" s="40"/>
      <c r="P397" s="85"/>
      <c r="S397" s="40"/>
      <c r="U397" s="40"/>
      <c r="W397" s="39"/>
    </row>
    <row r="398" spans="1:23" ht="15">
      <c r="A398" s="37"/>
      <c r="K398" s="85"/>
      <c r="N398" s="40"/>
      <c r="P398" s="85"/>
      <c r="S398" s="40"/>
      <c r="U398" s="40"/>
      <c r="W398" s="39"/>
    </row>
    <row r="399" spans="1:23" ht="15">
      <c r="A399" s="37"/>
      <c r="K399" s="85"/>
      <c r="N399" s="40"/>
      <c r="P399" s="85"/>
      <c r="S399" s="40"/>
      <c r="U399" s="40"/>
      <c r="W399" s="39"/>
    </row>
    <row r="400" spans="1:23" ht="15">
      <c r="A400" s="37"/>
      <c r="K400" s="85"/>
      <c r="N400" s="40"/>
      <c r="P400" s="85"/>
      <c r="S400" s="40"/>
      <c r="U400" s="40"/>
      <c r="W400" s="39"/>
    </row>
    <row r="401" spans="1:23" ht="15">
      <c r="A401" s="37"/>
      <c r="K401" s="85"/>
      <c r="N401" s="40"/>
      <c r="P401" s="85"/>
      <c r="S401" s="40"/>
      <c r="U401" s="40"/>
      <c r="W401" s="39"/>
    </row>
    <row r="402" spans="1:23" ht="15">
      <c r="A402" s="37"/>
      <c r="K402" s="85"/>
      <c r="N402" s="40"/>
      <c r="P402" s="85"/>
      <c r="S402" s="40"/>
      <c r="U402" s="40"/>
      <c r="W402" s="39"/>
    </row>
    <row r="403" spans="1:23" ht="15">
      <c r="A403" s="37"/>
      <c r="K403" s="85"/>
      <c r="N403" s="40"/>
      <c r="P403" s="85"/>
      <c r="S403" s="40"/>
      <c r="U403" s="40"/>
      <c r="W403" s="39"/>
    </row>
    <row r="404" spans="1:23" ht="15">
      <c r="A404" s="37"/>
      <c r="K404" s="85"/>
      <c r="N404" s="40"/>
      <c r="P404" s="85"/>
      <c r="S404" s="40"/>
      <c r="U404" s="40"/>
      <c r="W404" s="39"/>
    </row>
    <row r="405" spans="1:23" ht="15">
      <c r="A405" s="37"/>
      <c r="K405" s="85"/>
      <c r="N405" s="40"/>
      <c r="P405" s="85"/>
      <c r="S405" s="40"/>
      <c r="U405" s="40"/>
      <c r="W405" s="39"/>
    </row>
    <row r="406" spans="1:23" ht="15">
      <c r="A406" s="37"/>
      <c r="K406" s="85"/>
      <c r="N406" s="40"/>
      <c r="P406" s="85"/>
      <c r="S406" s="40"/>
      <c r="U406" s="40"/>
      <c r="W406" s="39"/>
    </row>
    <row r="407" spans="1:23" ht="15">
      <c r="A407" s="37"/>
      <c r="K407" s="85"/>
      <c r="N407" s="40"/>
      <c r="P407" s="85"/>
      <c r="S407" s="40"/>
      <c r="U407" s="40"/>
      <c r="W407" s="39"/>
    </row>
    <row r="408" spans="1:23" ht="15">
      <c r="A408" s="37"/>
      <c r="K408" s="85"/>
      <c r="N408" s="40"/>
      <c r="P408" s="85"/>
      <c r="S408" s="40"/>
      <c r="U408" s="40"/>
      <c r="W408" s="39"/>
    </row>
    <row r="409" spans="1:23" ht="15">
      <c r="A409" s="37"/>
      <c r="K409" s="85"/>
      <c r="N409" s="40"/>
      <c r="P409" s="85"/>
      <c r="S409" s="40"/>
      <c r="U409" s="40"/>
      <c r="W409" s="39"/>
    </row>
    <row r="410" spans="1:23" ht="15">
      <c r="A410" s="37"/>
      <c r="K410" s="85"/>
      <c r="N410" s="40"/>
      <c r="P410" s="85"/>
      <c r="S410" s="40"/>
      <c r="U410" s="40"/>
      <c r="W410" s="39"/>
    </row>
    <row r="411" spans="1:23" ht="15">
      <c r="A411" s="37"/>
      <c r="K411" s="85"/>
      <c r="N411" s="40"/>
      <c r="P411" s="85"/>
      <c r="S411" s="40"/>
      <c r="U411" s="40"/>
      <c r="W411" s="39"/>
    </row>
    <row r="412" spans="1:23" ht="15">
      <c r="A412" s="37"/>
      <c r="K412" s="85"/>
      <c r="N412" s="40"/>
      <c r="P412" s="85"/>
      <c r="S412" s="40"/>
      <c r="U412" s="40"/>
      <c r="W412" s="39"/>
    </row>
    <row r="413" spans="1:23" ht="15">
      <c r="A413" s="37"/>
      <c r="K413" s="85"/>
      <c r="N413" s="40"/>
      <c r="P413" s="85"/>
      <c r="S413" s="40"/>
      <c r="U413" s="40"/>
      <c r="W413" s="39"/>
    </row>
    <row r="414" spans="1:23" ht="15">
      <c r="A414" s="37"/>
      <c r="K414" s="85"/>
      <c r="N414" s="40"/>
      <c r="P414" s="85"/>
      <c r="S414" s="40"/>
      <c r="U414" s="40"/>
      <c r="W414" s="39"/>
    </row>
    <row r="415" spans="1:23" ht="15">
      <c r="A415" s="37"/>
      <c r="K415" s="85"/>
      <c r="N415" s="40"/>
      <c r="P415" s="85"/>
      <c r="S415" s="40"/>
      <c r="U415" s="40"/>
      <c r="W415" s="39"/>
    </row>
    <row r="416" spans="1:23" ht="15">
      <c r="A416" s="37"/>
      <c r="K416" s="85"/>
      <c r="N416" s="40"/>
      <c r="P416" s="85"/>
      <c r="S416" s="40"/>
      <c r="U416" s="40"/>
      <c r="W416" s="39"/>
    </row>
    <row r="417" spans="1:23" ht="15">
      <c r="A417" s="37"/>
      <c r="K417" s="85"/>
      <c r="N417" s="40"/>
      <c r="P417" s="85"/>
      <c r="S417" s="40"/>
      <c r="U417" s="40"/>
      <c r="W417" s="39"/>
    </row>
    <row r="418" spans="1:23" ht="15">
      <c r="A418" s="37"/>
      <c r="K418" s="85"/>
      <c r="N418" s="40"/>
      <c r="P418" s="85"/>
      <c r="S418" s="40"/>
      <c r="U418" s="40"/>
      <c r="W418" s="39"/>
    </row>
    <row r="419" spans="1:23" ht="15">
      <c r="A419" s="37"/>
      <c r="K419" s="85"/>
      <c r="N419" s="40"/>
      <c r="P419" s="85"/>
      <c r="S419" s="40"/>
      <c r="U419" s="40"/>
      <c r="W419" s="39"/>
    </row>
    <row r="420" spans="1:23" ht="15">
      <c r="A420" s="37"/>
      <c r="K420" s="85"/>
      <c r="N420" s="40"/>
      <c r="P420" s="85"/>
      <c r="S420" s="40"/>
      <c r="U420" s="40"/>
      <c r="W420" s="39"/>
    </row>
    <row r="421" spans="1:23" ht="15">
      <c r="A421" s="37"/>
      <c r="K421" s="85"/>
      <c r="N421" s="40"/>
      <c r="P421" s="85"/>
      <c r="S421" s="40"/>
      <c r="U421" s="40"/>
      <c r="W421" s="39"/>
    </row>
    <row r="422" spans="1:23" ht="15">
      <c r="A422" s="37"/>
      <c r="K422" s="85"/>
      <c r="N422" s="40"/>
      <c r="P422" s="85"/>
      <c r="S422" s="40"/>
      <c r="U422" s="40"/>
      <c r="W422" s="39"/>
    </row>
    <row r="423" spans="1:23" ht="15">
      <c r="A423" s="37"/>
      <c r="K423" s="85"/>
      <c r="N423" s="40"/>
      <c r="P423" s="85"/>
      <c r="S423" s="40"/>
      <c r="U423" s="40"/>
      <c r="W423" s="39"/>
    </row>
    <row r="424" spans="1:23" ht="15">
      <c r="A424" s="37"/>
      <c r="K424" s="85"/>
      <c r="N424" s="40"/>
      <c r="P424" s="85"/>
      <c r="S424" s="40"/>
      <c r="U424" s="40"/>
      <c r="W424" s="39"/>
    </row>
    <row r="425" spans="1:23" ht="15">
      <c r="A425" s="37"/>
      <c r="K425" s="85"/>
      <c r="N425" s="40"/>
      <c r="P425" s="85"/>
      <c r="S425" s="40"/>
      <c r="U425" s="40"/>
      <c r="W425" s="39"/>
    </row>
    <row r="426" spans="1:23" ht="15">
      <c r="A426" s="37"/>
      <c r="K426" s="85"/>
      <c r="N426" s="40"/>
      <c r="P426" s="85"/>
      <c r="S426" s="40"/>
      <c r="U426" s="40"/>
      <c r="W426" s="39"/>
    </row>
    <row r="427" spans="1:23" ht="15">
      <c r="A427" s="37"/>
      <c r="K427" s="85"/>
      <c r="N427" s="40"/>
      <c r="P427" s="85"/>
      <c r="S427" s="40"/>
      <c r="U427" s="40"/>
      <c r="W427" s="39"/>
    </row>
    <row r="428" spans="1:23" ht="15">
      <c r="A428" s="37"/>
      <c r="K428" s="85"/>
      <c r="N428" s="40"/>
      <c r="P428" s="85"/>
      <c r="S428" s="40"/>
      <c r="U428" s="40"/>
      <c r="W428" s="39"/>
    </row>
    <row r="429" spans="1:23" ht="15">
      <c r="A429" s="37"/>
      <c r="K429" s="85"/>
      <c r="N429" s="40"/>
      <c r="P429" s="85"/>
      <c r="S429" s="40"/>
      <c r="U429" s="40"/>
      <c r="W429" s="39"/>
    </row>
    <row r="430" spans="1:23" ht="15">
      <c r="A430" s="37"/>
      <c r="K430" s="85"/>
      <c r="N430" s="40"/>
      <c r="P430" s="85"/>
      <c r="S430" s="40"/>
      <c r="U430" s="40"/>
      <c r="W430" s="39"/>
    </row>
    <row r="431" spans="1:23" ht="15">
      <c r="A431" s="37"/>
      <c r="K431" s="85"/>
      <c r="N431" s="40"/>
      <c r="P431" s="85"/>
      <c r="S431" s="40"/>
      <c r="U431" s="40"/>
      <c r="W431" s="39"/>
    </row>
    <row r="432" spans="1:23" ht="15">
      <c r="A432" s="37"/>
      <c r="K432" s="85"/>
      <c r="N432" s="40"/>
      <c r="P432" s="85"/>
      <c r="S432" s="40"/>
      <c r="U432" s="40"/>
      <c r="W432" s="39"/>
    </row>
    <row r="433" spans="1:23" ht="15">
      <c r="A433" s="37"/>
      <c r="K433" s="85"/>
      <c r="N433" s="40"/>
      <c r="P433" s="85"/>
      <c r="S433" s="40"/>
      <c r="U433" s="40"/>
      <c r="W433" s="39"/>
    </row>
    <row r="434" spans="1:23" ht="15">
      <c r="A434" s="37"/>
      <c r="K434" s="85"/>
      <c r="N434" s="40"/>
      <c r="P434" s="85"/>
      <c r="S434" s="40"/>
      <c r="U434" s="40"/>
      <c r="W434" s="39"/>
    </row>
    <row r="435" spans="1:23" ht="15">
      <c r="A435" s="37"/>
      <c r="K435" s="85"/>
      <c r="N435" s="40"/>
      <c r="P435" s="85"/>
      <c r="S435" s="40"/>
      <c r="U435" s="40"/>
      <c r="W435" s="39"/>
    </row>
    <row r="436" spans="1:23" ht="15">
      <c r="A436" s="37"/>
      <c r="K436" s="85"/>
      <c r="N436" s="40"/>
      <c r="P436" s="85"/>
      <c r="S436" s="40"/>
      <c r="U436" s="40"/>
      <c r="W436" s="39"/>
    </row>
    <row r="437" spans="1:23" ht="15">
      <c r="A437" s="37"/>
      <c r="K437" s="85"/>
      <c r="N437" s="40"/>
      <c r="P437" s="85"/>
      <c r="S437" s="40"/>
      <c r="U437" s="40"/>
      <c r="W437" s="39"/>
    </row>
  </sheetData>
  <autoFilter ref="A5:W5"/>
  <printOptions/>
  <pageMargins left="0.3" right="0.3" top="0.75" bottom="0.75" header="0.3" footer="0.3"/>
  <pageSetup fitToHeight="10" fitToWidth="1" horizontalDpi="1200" verticalDpi="1200" orientation="landscape" scale="48" r:id="rId3"/>
  <headerFooter>
    <oddFooter>&amp;L&amp;F&amp;C&amp;P of &amp;N&amp;R&amp;D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 topLeftCell="B1">
      <selection activeCell="O9" sqref="O9"/>
    </sheetView>
  </sheetViews>
  <sheetFormatPr defaultColWidth="8.8515625" defaultRowHeight="15"/>
  <cols>
    <col min="1" max="1" width="12.8515625" style="23" customWidth="1"/>
    <col min="2" max="2" width="16.7109375" style="3" customWidth="1"/>
    <col min="3" max="3" width="17.57421875" style="3" customWidth="1"/>
    <col min="4" max="4" width="16.28125" style="3" customWidth="1"/>
    <col min="5" max="5" width="15.57421875" style="3" customWidth="1"/>
    <col min="6" max="6" width="16.140625" style="3" customWidth="1"/>
    <col min="7" max="7" width="11.8515625" style="3" customWidth="1"/>
    <col min="8" max="9" width="9.00390625" style="4" bestFit="1" customWidth="1"/>
    <col min="10" max="10" width="10.140625" style="4" customWidth="1"/>
    <col min="11" max="11" width="11.28125" style="4" customWidth="1"/>
    <col min="12" max="12" width="9.00390625" style="8" bestFit="1" customWidth="1"/>
    <col min="13" max="13" width="13.8515625" style="4" bestFit="1" customWidth="1"/>
    <col min="14" max="14" width="143.00390625" style="4" customWidth="1"/>
    <col min="15" max="15" width="6.140625" style="4" customWidth="1"/>
    <col min="16" max="16384" width="8.8515625" style="4" customWidth="1"/>
  </cols>
  <sheetData>
    <row r="1" spans="1:14" s="2" customFormat="1" ht="85.5">
      <c r="A1" s="22" t="s">
        <v>3</v>
      </c>
      <c r="B1" s="1" t="s">
        <v>41</v>
      </c>
      <c r="C1" s="1" t="s">
        <v>42</v>
      </c>
      <c r="D1" s="1" t="s">
        <v>43</v>
      </c>
      <c r="E1" s="1" t="s">
        <v>44</v>
      </c>
      <c r="F1" s="1" t="s">
        <v>45</v>
      </c>
      <c r="G1" s="1" t="s">
        <v>516</v>
      </c>
      <c r="H1" s="6" t="s">
        <v>480</v>
      </c>
      <c r="I1" s="6" t="s">
        <v>481</v>
      </c>
      <c r="J1" s="6" t="s">
        <v>478</v>
      </c>
      <c r="K1" s="6" t="s">
        <v>479</v>
      </c>
      <c r="L1" s="2" t="s">
        <v>482</v>
      </c>
      <c r="M1" s="2" t="s">
        <v>477</v>
      </c>
      <c r="N1" s="2" t="s">
        <v>169</v>
      </c>
    </row>
    <row r="2" spans="1:11" ht="28.5">
      <c r="A2" s="23" t="s">
        <v>483</v>
      </c>
      <c r="B2" s="3" t="s">
        <v>487</v>
      </c>
      <c r="C2" s="3" t="s">
        <v>488</v>
      </c>
      <c r="D2" s="3" t="s">
        <v>489</v>
      </c>
      <c r="E2" s="3" t="s">
        <v>514</v>
      </c>
      <c r="K2" s="5"/>
    </row>
    <row r="3" spans="1:14" ht="15" hidden="1">
      <c r="A3" s="24" t="s">
        <v>506</v>
      </c>
      <c r="B3" s="25">
        <v>20.3</v>
      </c>
      <c r="C3" s="25">
        <v>19.7</v>
      </c>
      <c r="D3" s="25"/>
      <c r="E3" s="25">
        <v>3.02</v>
      </c>
      <c r="F3" s="4"/>
      <c r="G3" s="4"/>
      <c r="H3" s="9"/>
      <c r="I3" s="10"/>
      <c r="J3" s="10"/>
      <c r="K3" s="5"/>
      <c r="L3" s="4"/>
      <c r="M3" s="11">
        <f aca="true" t="shared" si="0" ref="M3:M8">SUM(B3:E3)</f>
        <v>43.02</v>
      </c>
      <c r="N3" s="4" t="s">
        <v>515</v>
      </c>
    </row>
    <row r="4" spans="1:13" ht="15" hidden="1">
      <c r="A4" s="24" t="s">
        <v>508</v>
      </c>
      <c r="B4" s="14">
        <f>B3/$M3</f>
        <v>0.4718735471873547</v>
      </c>
      <c r="C4" s="14">
        <f>C3/$M3</f>
        <v>0.4579265457926545</v>
      </c>
      <c r="D4" s="14"/>
      <c r="E4" s="14">
        <f>E3/$M3</f>
        <v>0.0701999070199907</v>
      </c>
      <c r="F4" s="4"/>
      <c r="G4" s="4"/>
      <c r="H4" s="9"/>
      <c r="I4" s="10"/>
      <c r="J4" s="10"/>
      <c r="K4" s="5"/>
      <c r="L4" s="11"/>
      <c r="M4" s="7">
        <f t="shared" si="0"/>
        <v>0.9999999999999999</v>
      </c>
    </row>
    <row r="5" spans="1:14" ht="15" hidden="1">
      <c r="A5" s="24" t="s">
        <v>507</v>
      </c>
      <c r="B5" s="25">
        <v>18.51</v>
      </c>
      <c r="C5" s="25">
        <v>15.02</v>
      </c>
      <c r="D5" s="25">
        <v>6.59</v>
      </c>
      <c r="E5" s="25">
        <v>4.15</v>
      </c>
      <c r="F5" s="4"/>
      <c r="G5" s="4"/>
      <c r="H5" s="9"/>
      <c r="I5" s="10"/>
      <c r="J5" s="10"/>
      <c r="K5" s="5"/>
      <c r="L5" s="4"/>
      <c r="M5" s="11">
        <f t="shared" si="0"/>
        <v>44.27</v>
      </c>
      <c r="N5" s="4" t="s">
        <v>512</v>
      </c>
    </row>
    <row r="6" spans="1:13" ht="15" hidden="1">
      <c r="A6" s="24" t="s">
        <v>509</v>
      </c>
      <c r="B6" s="14">
        <f>B5/$M5</f>
        <v>0.41811610571493113</v>
      </c>
      <c r="C6" s="14">
        <f>C5/$M5</f>
        <v>0.3392816805963406</v>
      </c>
      <c r="D6" s="14">
        <f>D5/$M5</f>
        <v>0.14885927264513213</v>
      </c>
      <c r="E6" s="14">
        <f>E5/$M5</f>
        <v>0.09374294104359612</v>
      </c>
      <c r="F6" s="4"/>
      <c r="G6" s="4"/>
      <c r="H6" s="9"/>
      <c r="I6" s="10"/>
      <c r="J6" s="10"/>
      <c r="K6" s="5"/>
      <c r="L6" s="11"/>
      <c r="M6" s="7">
        <f t="shared" si="0"/>
        <v>1</v>
      </c>
    </row>
    <row r="7" spans="1:14" ht="15" hidden="1">
      <c r="A7" s="24" t="s">
        <v>510</v>
      </c>
      <c r="B7" s="25">
        <v>18.92</v>
      </c>
      <c r="C7" s="25">
        <v>15.3</v>
      </c>
      <c r="D7" s="25">
        <v>8.87</v>
      </c>
      <c r="E7" s="25">
        <v>3.27</v>
      </c>
      <c r="F7" s="4"/>
      <c r="G7" s="4"/>
      <c r="H7" s="9"/>
      <c r="I7" s="10"/>
      <c r="J7" s="10"/>
      <c r="K7" s="5"/>
      <c r="L7" s="4"/>
      <c r="M7" s="11">
        <f t="shared" si="0"/>
        <v>46.36</v>
      </c>
      <c r="N7" s="4" t="s">
        <v>512</v>
      </c>
    </row>
    <row r="8" spans="1:13" ht="15" hidden="1">
      <c r="A8" s="24" t="s">
        <v>511</v>
      </c>
      <c r="B8" s="14">
        <f>B7/$M7</f>
        <v>0.4081104400345126</v>
      </c>
      <c r="C8" s="14">
        <f>C7/$M7</f>
        <v>0.3300258843830889</v>
      </c>
      <c r="D8" s="14">
        <f>D7/$M7</f>
        <v>0.19132873166522862</v>
      </c>
      <c r="E8" s="14">
        <f>E7/$M7</f>
        <v>0.07053494391716998</v>
      </c>
      <c r="F8" s="4"/>
      <c r="G8" s="4"/>
      <c r="H8" s="9"/>
      <c r="I8" s="10"/>
      <c r="J8" s="10"/>
      <c r="K8" s="5"/>
      <c r="L8" s="11"/>
      <c r="M8" s="7">
        <f t="shared" si="0"/>
        <v>1.0000000000000002</v>
      </c>
    </row>
    <row r="9" spans="1:15" ht="15">
      <c r="A9" s="24" t="s">
        <v>484</v>
      </c>
      <c r="B9" s="14">
        <f>AVERAGE(B8,B6)</f>
        <v>0.4131132728747219</v>
      </c>
      <c r="C9" s="14">
        <f>AVERAGE(C8,C6)</f>
        <v>0.3346537824897148</v>
      </c>
      <c r="D9" s="14">
        <f>AVERAGE(D8,D6)</f>
        <v>0.1700940021551804</v>
      </c>
      <c r="E9" s="14">
        <f>AVERAGE(E8,E6)</f>
        <v>0.08213894248038306</v>
      </c>
      <c r="F9" s="4"/>
      <c r="G9" s="4"/>
      <c r="H9" s="4">
        <v>4</v>
      </c>
      <c r="I9" s="10">
        <f>-1*((B9*LOG(B9,2))+(C9*LOG(C9,2))+(D9*LOG(D9,2))+(E9*LOG(E9,2)))</f>
        <v>1.7862530251813924</v>
      </c>
      <c r="J9" s="10">
        <f>2^I9</f>
        <v>3.4491790567802965</v>
      </c>
      <c r="K9" s="5">
        <f>1/H9</f>
        <v>0.25</v>
      </c>
      <c r="L9" s="8">
        <f>-H9*K9*LOG(K9,2)</f>
        <v>2</v>
      </c>
      <c r="M9" s="7">
        <f>B9+C9+D9+E9+F9</f>
        <v>1.0000000000000002</v>
      </c>
      <c r="N9" s="4" t="s">
        <v>518</v>
      </c>
      <c r="O9" s="27">
        <f>B9/C9</f>
        <v>1.2344497342934364</v>
      </c>
    </row>
    <row r="10" spans="1:13" ht="16.5" customHeight="1">
      <c r="A10" s="23" t="s">
        <v>172</v>
      </c>
      <c r="B10" s="15" t="s">
        <v>490</v>
      </c>
      <c r="C10" s="15" t="s">
        <v>492</v>
      </c>
      <c r="D10" s="15" t="s">
        <v>69</v>
      </c>
      <c r="E10" s="3" t="s">
        <v>493</v>
      </c>
      <c r="F10" s="15" t="s">
        <v>68</v>
      </c>
      <c r="G10" s="15"/>
      <c r="K10" s="5"/>
      <c r="M10" s="26"/>
    </row>
    <row r="11" spans="1:14" ht="17.25" customHeight="1">
      <c r="A11" s="24" t="s">
        <v>72</v>
      </c>
      <c r="B11" s="14">
        <v>0.55</v>
      </c>
      <c r="C11" s="14">
        <v>0.25</v>
      </c>
      <c r="D11" s="14">
        <v>0.1</v>
      </c>
      <c r="E11" s="14">
        <v>0.07</v>
      </c>
      <c r="F11" s="14">
        <v>0.03</v>
      </c>
      <c r="G11" s="14"/>
      <c r="H11" s="9">
        <v>5</v>
      </c>
      <c r="I11" s="10">
        <f>-1*((B11*LOG(B11,2))+(C11*LOG(C11,2))+(D11*LOG(D11,2))+(E11*LOG(E11,2))+(F11*LOG(F11,2)))</f>
        <v>1.7268877708380774</v>
      </c>
      <c r="J11" s="10">
        <f>2^I11</f>
        <v>3.3101297549102346</v>
      </c>
      <c r="K11" s="5">
        <f>1/H11</f>
        <v>0.2</v>
      </c>
      <c r="L11" s="11">
        <f>-H11*K11*LOG(K11,2)</f>
        <v>2.321928094887362</v>
      </c>
      <c r="M11" s="7">
        <f>B11+C11+D11+E11+F11</f>
        <v>1</v>
      </c>
      <c r="N11" s="4" t="s">
        <v>501</v>
      </c>
    </row>
    <row r="12" spans="1:13" ht="15">
      <c r="A12" s="23" t="s">
        <v>173</v>
      </c>
      <c r="B12" s="3" t="s">
        <v>24</v>
      </c>
      <c r="C12" s="3" t="s">
        <v>25</v>
      </c>
      <c r="D12" s="3" t="s">
        <v>26</v>
      </c>
      <c r="E12" s="3" t="s">
        <v>493</v>
      </c>
      <c r="M12" s="26"/>
    </row>
    <row r="13" spans="1:14" ht="15">
      <c r="A13" s="24" t="s">
        <v>71</v>
      </c>
      <c r="B13" s="14">
        <v>0.6</v>
      </c>
      <c r="C13" s="14">
        <v>0.2</v>
      </c>
      <c r="D13" s="14">
        <v>0.15</v>
      </c>
      <c r="E13" s="14">
        <v>0.05</v>
      </c>
      <c r="F13" s="14"/>
      <c r="G13" s="14"/>
      <c r="H13" s="4">
        <v>4</v>
      </c>
      <c r="I13" s="10">
        <f>-1*((B13*LOG(B13,2))+(C13*LOG(C13,2))+(D13*LOG(D13,2))+(E13*LOG(E13,2)))</f>
        <v>1.533206219346495</v>
      </c>
      <c r="J13" s="10">
        <f>2^I13</f>
        <v>2.8942834520890703</v>
      </c>
      <c r="K13" s="5">
        <f>1/H13</f>
        <v>0.25</v>
      </c>
      <c r="L13" s="8">
        <f>-H13*K13*LOG(K13,2)</f>
        <v>2</v>
      </c>
      <c r="M13" s="7">
        <f>B13+C13+D13+E13+F13</f>
        <v>1</v>
      </c>
      <c r="N13" s="4" t="s">
        <v>500</v>
      </c>
    </row>
    <row r="14" spans="1:13" ht="15" customHeight="1">
      <c r="A14" s="23" t="s">
        <v>78</v>
      </c>
      <c r="B14" s="3" t="s">
        <v>493</v>
      </c>
      <c r="C14" s="3" t="s">
        <v>491</v>
      </c>
      <c r="D14" s="3" t="s">
        <v>504</v>
      </c>
      <c r="E14" s="3" t="s">
        <v>505</v>
      </c>
      <c r="F14" s="3" t="s">
        <v>77</v>
      </c>
      <c r="J14" s="10"/>
      <c r="K14" s="5"/>
      <c r="M14" s="7"/>
    </row>
    <row r="15" spans="1:14" ht="15" customHeight="1" hidden="1">
      <c r="A15" s="23" t="s">
        <v>503</v>
      </c>
      <c r="B15" s="3">
        <v>72300</v>
      </c>
      <c r="C15" s="3">
        <v>52500</v>
      </c>
      <c r="D15" s="3">
        <v>32900</v>
      </c>
      <c r="E15" s="3">
        <v>19600</v>
      </c>
      <c r="F15" s="3">
        <v>5990</v>
      </c>
      <c r="K15" s="5"/>
      <c r="L15" s="4"/>
      <c r="M15" s="13">
        <f>SUM(B15:F15)</f>
        <v>183290</v>
      </c>
      <c r="N15" s="4" t="s">
        <v>513</v>
      </c>
    </row>
    <row r="16" spans="1:14" ht="15">
      <c r="A16" s="24" t="s">
        <v>79</v>
      </c>
      <c r="B16" s="16">
        <f>B15/$M15</f>
        <v>0.39445687162420207</v>
      </c>
      <c r="C16" s="16">
        <f>C15/$M15</f>
        <v>0.28643133831632933</v>
      </c>
      <c r="D16" s="16">
        <f>D15/$M15</f>
        <v>0.17949697201156636</v>
      </c>
      <c r="E16" s="16">
        <f>E15/$M15</f>
        <v>0.10693436630476294</v>
      </c>
      <c r="F16" s="16">
        <f>F15/$M15</f>
        <v>0.032680451743139285</v>
      </c>
      <c r="G16" s="16"/>
      <c r="H16" s="9">
        <v>5</v>
      </c>
      <c r="I16" s="10">
        <f>-1*((C16*LOG(C16,2))+(D16*LOG(D16,2))+(E16*LOG(E16,2))+(B16*LOG(B16,2))+(F16*LOG(F16,2)))</f>
        <v>1.996997170848311</v>
      </c>
      <c r="J16" s="10">
        <f>2^I16</f>
        <v>3.9916830482241568</v>
      </c>
      <c r="K16" s="5">
        <f>1/H16</f>
        <v>0.2</v>
      </c>
      <c r="L16" s="11">
        <f>-H16*K16*LOG(K16,2)</f>
        <v>2.321928094887362</v>
      </c>
      <c r="M16" s="7">
        <f>C16+D16+E16+B16+F16</f>
        <v>1</v>
      </c>
      <c r="N16" s="4" t="s">
        <v>502</v>
      </c>
    </row>
    <row r="17" spans="1:13" ht="15">
      <c r="A17" s="23" t="s">
        <v>485</v>
      </c>
      <c r="B17" s="3" t="s">
        <v>494</v>
      </c>
      <c r="C17" s="14" t="s">
        <v>495</v>
      </c>
      <c r="D17" s="3" t="s">
        <v>496</v>
      </c>
      <c r="E17" s="3" t="s">
        <v>497</v>
      </c>
      <c r="F17" s="3" t="s">
        <v>498</v>
      </c>
      <c r="G17" s="3" t="s">
        <v>517</v>
      </c>
      <c r="K17" s="5"/>
      <c r="M17" s="7"/>
    </row>
    <row r="18" spans="1:14" ht="15.75">
      <c r="A18" s="24" t="s">
        <v>486</v>
      </c>
      <c r="B18" s="14">
        <v>0.99</v>
      </c>
      <c r="C18" s="17">
        <v>0.005</v>
      </c>
      <c r="D18" s="17">
        <v>0.003</v>
      </c>
      <c r="E18" s="18">
        <v>0.0005</v>
      </c>
      <c r="F18" s="19">
        <v>0.00025</v>
      </c>
      <c r="G18" s="19">
        <v>7E-05</v>
      </c>
      <c r="H18" s="4">
        <v>6</v>
      </c>
      <c r="I18" s="10">
        <f>2^J18</f>
        <v>1.0622746476703357</v>
      </c>
      <c r="J18" s="10">
        <f>-1*((B18*LOG(B18,2))+(C18*LOG(C18,2))+(D18*LOG(D18,2))+(E18*LOG(E18,2))+(F18*LOG(F18,2))+(G18*LOG(G18,2)))</f>
        <v>0.08715681850102347</v>
      </c>
      <c r="K18" s="5">
        <f>1/H18</f>
        <v>0.16666666666666666</v>
      </c>
      <c r="L18" s="11">
        <f>-H18*K18*LOG(K18,2)</f>
        <v>2.584962500721156</v>
      </c>
      <c r="M18" s="7">
        <f>B18+C18+D18+E18+F18</f>
        <v>0.9987499999999999</v>
      </c>
      <c r="N18" s="4" t="s">
        <v>499</v>
      </c>
    </row>
    <row r="19" spans="2:5" ht="15">
      <c r="B19" s="14"/>
      <c r="E19" s="4"/>
    </row>
    <row r="20" spans="2:13" ht="15">
      <c r="B20" s="17"/>
      <c r="C20" s="17"/>
      <c r="D20" s="18"/>
      <c r="E20" s="4"/>
      <c r="F20" s="20"/>
      <c r="G20" s="20"/>
      <c r="I20" s="10"/>
      <c r="J20" s="10"/>
      <c r="K20" s="5"/>
      <c r="L20" s="11"/>
      <c r="M20" s="12"/>
    </row>
    <row r="21" spans="2:12" ht="15">
      <c r="B21" s="17"/>
      <c r="C21" s="17"/>
      <c r="D21" s="17"/>
      <c r="E21" s="4"/>
      <c r="F21" s="17"/>
      <c r="G21" s="17"/>
      <c r="I21" s="10"/>
      <c r="J21" s="10"/>
      <c r="K21" s="5"/>
      <c r="L21" s="11"/>
    </row>
    <row r="28" ht="15">
      <c r="C28" s="21"/>
    </row>
    <row r="29" spans="3:4" ht="15">
      <c r="C29" s="21"/>
      <c r="D29" s="21"/>
    </row>
    <row r="30" ht="15">
      <c r="C30" s="21"/>
    </row>
    <row r="32" ht="15">
      <c r="C32" s="21"/>
    </row>
    <row r="40" spans="6:7" ht="15">
      <c r="F40" s="21"/>
      <c r="G40" s="21"/>
    </row>
  </sheetData>
  <autoFilter ref="A1:U1"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2013-06-11T14:19:59Z</dcterms:modified>
  <cp:category/>
  <cp:version/>
  <cp:contentType/>
  <cp:contentStatus/>
</cp:coreProperties>
</file>